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50320" windowHeight="26400" tabRatio="812" activeTab="15"/>
  </bookViews>
  <sheets>
    <sheet name="CO2" sheetId="1" r:id="rId1"/>
    <sheet name="W conifer CO2 detail" sheetId="16" r:id="rId2"/>
    <sheet name="W conifer CO2 detail NOTUSED" sheetId="12" r:id="rId3"/>
    <sheet name="W shrub CO2 detail NOTUSED" sheetId="10" r:id="rId4"/>
    <sheet name="CO" sheetId="2" r:id="rId5"/>
    <sheet name="CO W conifer detail" sheetId="15" r:id="rId6"/>
    <sheet name="W conifer CO detail NOT USED" sheetId="13" r:id="rId7"/>
    <sheet name="W shrub CO detail NOTUSED" sheetId="9" r:id="rId8"/>
    <sheet name="CH4" sheetId="3" r:id="rId9"/>
    <sheet name="W conifer CH4 detail - NOT USED" sheetId="14" r:id="rId10"/>
    <sheet name="W conifer CH4 (WF,RX) - NOTUSED" sheetId="6" r:id="rId11"/>
    <sheet name="fixing CO Urbanski 2013" sheetId="8" r:id="rId12"/>
    <sheet name="Master RefList" sheetId="4" r:id="rId13"/>
    <sheet name="CO2 Refs" sheetId="17" r:id="rId14"/>
    <sheet name="CO Refs" sheetId="18" r:id="rId15"/>
    <sheet name="CH4 Refs" sheetId="19" r:id="rId1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17" i="16" l="1"/>
  <c r="AH165" i="16"/>
  <c r="AH164" i="16"/>
  <c r="AH163" i="16"/>
  <c r="AG165" i="16"/>
  <c r="AG164" i="16"/>
  <c r="AG163" i="16"/>
  <c r="AF165" i="16"/>
  <c r="AF164" i="16"/>
  <c r="AF163" i="16"/>
  <c r="AE165" i="16"/>
  <c r="AE164" i="16"/>
  <c r="AE163" i="16"/>
  <c r="AD165" i="16"/>
  <c r="AD164" i="16"/>
  <c r="AD163" i="16"/>
  <c r="AC165" i="16"/>
  <c r="AC164" i="16"/>
  <c r="AC163" i="16"/>
  <c r="AH156" i="16"/>
  <c r="AH155" i="16"/>
  <c r="AH154" i="16"/>
  <c r="AG156" i="16"/>
  <c r="AG155" i="16"/>
  <c r="AG154" i="16"/>
  <c r="AF156" i="16"/>
  <c r="AF155" i="16"/>
  <c r="AF154" i="16"/>
  <c r="AE156" i="16"/>
  <c r="AE155" i="16"/>
  <c r="AE154" i="16"/>
  <c r="AD156" i="16"/>
  <c r="AD155" i="16"/>
  <c r="AD154" i="16"/>
  <c r="AC156" i="16"/>
  <c r="AC155" i="16"/>
  <c r="AC154" i="16"/>
  <c r="AH147" i="16"/>
  <c r="AH146" i="16"/>
  <c r="AH145" i="16"/>
  <c r="AG147" i="16"/>
  <c r="AG146" i="16"/>
  <c r="AG145" i="16"/>
  <c r="AF147" i="16"/>
  <c r="AF146" i="16"/>
  <c r="AF145" i="16"/>
  <c r="AE147" i="16"/>
  <c r="AE146" i="16"/>
  <c r="AE145" i="16"/>
  <c r="AD147" i="16"/>
  <c r="AD146" i="16"/>
  <c r="AD145" i="16"/>
  <c r="AC147" i="16"/>
  <c r="AC146" i="16"/>
  <c r="AC145" i="16"/>
  <c r="AH117" i="16"/>
  <c r="AH116" i="16"/>
  <c r="AH115" i="16"/>
  <c r="AG117" i="16"/>
  <c r="AG116" i="16"/>
  <c r="AG115" i="16"/>
  <c r="AF117" i="16"/>
  <c r="AF116" i="16"/>
  <c r="AF115" i="16"/>
  <c r="AE117" i="16"/>
  <c r="AE116" i="16"/>
  <c r="AE115" i="16"/>
  <c r="AD116" i="16"/>
  <c r="AD115" i="16"/>
  <c r="AC117" i="16"/>
  <c r="AC116" i="16"/>
  <c r="AC115" i="16"/>
  <c r="AH16" i="16"/>
  <c r="AH15" i="16"/>
  <c r="AH14" i="16"/>
  <c r="AH12" i="16"/>
  <c r="AH11" i="16"/>
  <c r="AH10" i="16"/>
  <c r="AH8" i="16"/>
  <c r="AH7" i="16"/>
  <c r="AH6" i="16"/>
  <c r="AH4" i="16"/>
  <c r="AH3" i="16"/>
  <c r="AH2" i="16"/>
  <c r="AG16" i="16"/>
  <c r="AG15" i="16"/>
  <c r="AG14" i="16"/>
  <c r="AG12" i="16"/>
  <c r="AG11" i="16"/>
  <c r="AG10" i="16"/>
  <c r="AG8" i="16"/>
  <c r="AG7" i="16"/>
  <c r="AG6" i="16"/>
  <c r="AG4" i="16"/>
  <c r="AG3" i="16"/>
  <c r="AG2" i="16"/>
  <c r="AF16" i="16"/>
  <c r="AF15" i="16"/>
  <c r="AF14" i="16"/>
  <c r="AF12" i="16"/>
  <c r="AF11" i="16"/>
  <c r="AF10" i="16"/>
  <c r="AF8" i="16"/>
  <c r="AF7" i="16"/>
  <c r="AF6" i="16"/>
  <c r="AF4" i="16"/>
  <c r="AF3" i="16"/>
  <c r="AF2" i="16"/>
  <c r="AE16" i="16"/>
  <c r="AE15" i="16"/>
  <c r="AE14" i="16"/>
  <c r="AE12" i="16"/>
  <c r="AE11" i="16"/>
  <c r="AE10" i="16"/>
  <c r="AE8" i="16"/>
  <c r="AE7" i="16"/>
  <c r="AE6" i="16"/>
  <c r="AE4" i="16"/>
  <c r="AE3" i="16"/>
  <c r="AE2" i="16"/>
  <c r="AD16" i="16"/>
  <c r="AD15" i="16"/>
  <c r="AD14" i="16"/>
  <c r="AD12" i="16"/>
  <c r="AD11" i="16"/>
  <c r="AD10" i="16"/>
  <c r="AD8" i="16"/>
  <c r="AD7" i="16"/>
  <c r="AD6" i="16"/>
  <c r="AD4" i="16"/>
  <c r="AD3" i="16"/>
  <c r="AD2" i="16"/>
  <c r="AC16" i="16"/>
  <c r="AC15" i="16"/>
  <c r="AC14" i="16"/>
  <c r="AC12" i="16"/>
  <c r="AC11" i="16"/>
  <c r="AC10" i="16"/>
  <c r="AC8" i="16"/>
  <c r="AC7" i="16"/>
  <c r="AC6" i="16"/>
  <c r="AC4" i="16"/>
  <c r="AC3" i="16"/>
  <c r="AC2" i="16"/>
  <c r="Y183" i="16"/>
  <c r="X183" i="16"/>
  <c r="X181" i="16"/>
  <c r="X180" i="16"/>
  <c r="X179" i="16"/>
  <c r="X178" i="16"/>
  <c r="X177" i="16"/>
  <c r="X176" i="16"/>
  <c r="X175" i="16"/>
  <c r="X174" i="16"/>
  <c r="X173" i="16"/>
  <c r="Y182" i="16"/>
  <c r="X182" i="16"/>
  <c r="X205" i="16"/>
  <c r="Z205" i="16"/>
  <c r="X144" i="16"/>
  <c r="Z144" i="16"/>
  <c r="X204" i="16"/>
  <c r="Z204" i="16"/>
  <c r="X203" i="16"/>
  <c r="Z203" i="16"/>
  <c r="R202" i="16"/>
  <c r="X202" i="16"/>
  <c r="Z202" i="16"/>
  <c r="Y202" i="16"/>
  <c r="X143" i="16"/>
  <c r="Z143" i="16"/>
  <c r="X142" i="16"/>
  <c r="Z142" i="16"/>
  <c r="X201" i="16"/>
  <c r="Z201" i="16"/>
  <c r="R200" i="16"/>
  <c r="X200" i="16"/>
  <c r="Z200" i="16"/>
  <c r="Y200" i="16"/>
  <c r="R199" i="16"/>
  <c r="X199" i="16"/>
  <c r="Z199" i="16"/>
  <c r="Y199" i="16"/>
  <c r="X153" i="16"/>
  <c r="Z153" i="16"/>
  <c r="X198" i="16"/>
  <c r="Z198" i="16"/>
  <c r="X197" i="16"/>
  <c r="Z197" i="16"/>
  <c r="X196" i="16"/>
  <c r="Z196" i="16"/>
  <c r="X141" i="16"/>
  <c r="Z141" i="16"/>
  <c r="X140" i="16"/>
  <c r="Z140" i="16"/>
  <c r="X139" i="16"/>
  <c r="Z139" i="16"/>
  <c r="R195" i="16"/>
  <c r="X195" i="16"/>
  <c r="Z195" i="16"/>
  <c r="Y195" i="16"/>
  <c r="R194" i="16"/>
  <c r="X194" i="16"/>
  <c r="Z194" i="16"/>
  <c r="Y194" i="16"/>
  <c r="X138" i="16"/>
  <c r="Z138" i="16"/>
  <c r="X137" i="16"/>
  <c r="Z137" i="16"/>
  <c r="X193" i="16"/>
  <c r="Z193" i="16"/>
  <c r="X136" i="16"/>
  <c r="Z136" i="16"/>
  <c r="X162" i="16"/>
  <c r="Z162" i="16"/>
  <c r="X192" i="16"/>
  <c r="Z192" i="16"/>
  <c r="X191" i="16"/>
  <c r="Z191" i="16"/>
  <c r="X135" i="16"/>
  <c r="Z135" i="16"/>
  <c r="X134" i="16"/>
  <c r="Z134" i="16"/>
  <c r="X190" i="16"/>
  <c r="Z190" i="16"/>
  <c r="X2" i="16"/>
  <c r="Z2" i="16"/>
  <c r="Y2" i="16"/>
  <c r="W2" i="16"/>
  <c r="X133" i="16"/>
  <c r="Z133" i="16"/>
  <c r="X132" i="16"/>
  <c r="Z132" i="16"/>
  <c r="X131" i="16"/>
  <c r="Z131" i="16"/>
  <c r="X161" i="16"/>
  <c r="Z161" i="16"/>
  <c r="X130" i="16"/>
  <c r="Z130" i="16"/>
  <c r="X129" i="16"/>
  <c r="Z129" i="16"/>
  <c r="X152" i="16"/>
  <c r="Z152" i="16"/>
  <c r="R189" i="16"/>
  <c r="X189" i="16"/>
  <c r="Z189" i="16"/>
  <c r="Y189" i="16"/>
  <c r="R188" i="16"/>
  <c r="X188" i="16"/>
  <c r="Z188" i="16"/>
  <c r="Y188" i="16"/>
  <c r="X160" i="16"/>
  <c r="Z160" i="16"/>
  <c r="X151" i="16"/>
  <c r="Z151" i="16"/>
  <c r="X128" i="16"/>
  <c r="Z128" i="16"/>
  <c r="X150" i="16"/>
  <c r="Z150" i="16"/>
  <c r="X65" i="16"/>
  <c r="Z65" i="16"/>
  <c r="X127" i="16"/>
  <c r="Z127" i="16"/>
  <c r="X159" i="16"/>
  <c r="Z159" i="16"/>
  <c r="X64" i="16"/>
  <c r="Z64" i="16"/>
  <c r="X187" i="16"/>
  <c r="Z187" i="16"/>
  <c r="X126" i="16"/>
  <c r="Z126" i="16"/>
  <c r="X158" i="16"/>
  <c r="Z158" i="16"/>
  <c r="X114" i="16"/>
  <c r="Z114" i="16"/>
  <c r="X63" i="16"/>
  <c r="Z63" i="16"/>
  <c r="X62" i="16"/>
  <c r="Z62" i="16"/>
  <c r="X61" i="16"/>
  <c r="Z61" i="16"/>
  <c r="X60" i="16"/>
  <c r="Z60" i="16"/>
  <c r="X59" i="16"/>
  <c r="Z59" i="16"/>
  <c r="X58" i="16"/>
  <c r="Z58" i="16"/>
  <c r="X57" i="16"/>
  <c r="Z57" i="16"/>
  <c r="X56" i="16"/>
  <c r="Z56" i="16"/>
  <c r="R97" i="16"/>
  <c r="X97" i="16"/>
  <c r="Z97" i="16"/>
  <c r="Y97" i="16"/>
  <c r="U97" i="16"/>
  <c r="X55" i="16"/>
  <c r="Z55" i="16"/>
  <c r="X54" i="16"/>
  <c r="Z54" i="16"/>
  <c r="X53" i="16"/>
  <c r="Z53" i="16"/>
  <c r="X52" i="16"/>
  <c r="Z52" i="16"/>
  <c r="X51" i="16"/>
  <c r="Z51" i="16"/>
  <c r="X50" i="16"/>
  <c r="Z50" i="16"/>
  <c r="X49" i="16"/>
  <c r="Z49" i="16"/>
  <c r="X48" i="16"/>
  <c r="Z48" i="16"/>
  <c r="X47" i="16"/>
  <c r="Z47" i="16"/>
  <c r="X46" i="16"/>
  <c r="Z46" i="16"/>
  <c r="X45" i="16"/>
  <c r="Z45" i="16"/>
  <c r="X44" i="16"/>
  <c r="Z44" i="16"/>
  <c r="X43" i="16"/>
  <c r="Z43" i="16"/>
  <c r="X186" i="16"/>
  <c r="Z186" i="16"/>
  <c r="R101" i="16"/>
  <c r="X101" i="16"/>
  <c r="Z101" i="16"/>
  <c r="Y101" i="16"/>
  <c r="U101" i="16"/>
  <c r="X125" i="16"/>
  <c r="Z125" i="16"/>
  <c r="X149" i="16"/>
  <c r="Z149" i="16"/>
  <c r="X42" i="16"/>
  <c r="Z42" i="16"/>
  <c r="X41" i="16"/>
  <c r="Z41" i="16"/>
  <c r="X106" i="16"/>
  <c r="Z106" i="16"/>
  <c r="X40" i="16"/>
  <c r="Z40" i="16"/>
  <c r="X39" i="16"/>
  <c r="Z39" i="16"/>
  <c r="X38" i="16"/>
  <c r="Z38" i="16"/>
  <c r="X37" i="16"/>
  <c r="Z37" i="16"/>
  <c r="X36" i="16"/>
  <c r="Z36" i="16"/>
  <c r="X35" i="16"/>
  <c r="Z35" i="16"/>
  <c r="X94" i="16"/>
  <c r="Z94" i="16"/>
  <c r="X185" i="16"/>
  <c r="Z185" i="16"/>
  <c r="X184" i="16"/>
  <c r="Z184" i="16"/>
  <c r="X34" i="16"/>
  <c r="Z34" i="16"/>
  <c r="X33" i="16"/>
  <c r="Z33" i="16"/>
  <c r="X32" i="16"/>
  <c r="Z32" i="16"/>
  <c r="X31" i="16"/>
  <c r="Z31" i="16"/>
  <c r="X124" i="16"/>
  <c r="Z124" i="16"/>
  <c r="X123" i="16"/>
  <c r="Z123" i="16"/>
  <c r="X30" i="16"/>
  <c r="Z30" i="16"/>
  <c r="X29" i="16"/>
  <c r="Z29" i="16"/>
  <c r="X148" i="16"/>
  <c r="Z148" i="16"/>
  <c r="X28" i="16"/>
  <c r="Z28" i="16"/>
  <c r="X27" i="16"/>
  <c r="Z27" i="16"/>
  <c r="X26" i="16"/>
  <c r="Z26" i="16"/>
  <c r="X25" i="16"/>
  <c r="Z25" i="16"/>
  <c r="X24" i="16"/>
  <c r="Z24" i="16"/>
  <c r="X23" i="16"/>
  <c r="Z23" i="16"/>
  <c r="X93" i="16"/>
  <c r="Z93" i="16"/>
  <c r="X172" i="16"/>
  <c r="Z172" i="16"/>
  <c r="R171" i="16"/>
  <c r="X171" i="16"/>
  <c r="Z171" i="16"/>
  <c r="Y171" i="16"/>
  <c r="X157" i="16"/>
  <c r="Z157" i="16"/>
  <c r="X22" i="16"/>
  <c r="Z22" i="16"/>
  <c r="X21" i="16"/>
  <c r="Z21" i="16"/>
  <c r="X122" i="16"/>
  <c r="Z122" i="16"/>
  <c r="X7" i="16"/>
  <c r="Z7" i="16"/>
  <c r="Y7" i="16"/>
  <c r="V7" i="16"/>
  <c r="X20" i="16"/>
  <c r="Z20" i="16"/>
  <c r="X19" i="16"/>
  <c r="Z19" i="16"/>
  <c r="X18" i="16"/>
  <c r="Z18" i="16"/>
  <c r="X17" i="16"/>
  <c r="Z17" i="16"/>
  <c r="X16" i="16"/>
  <c r="Z16" i="16"/>
  <c r="X15" i="16"/>
  <c r="Z15" i="16"/>
  <c r="X14" i="16"/>
  <c r="Z14" i="16"/>
  <c r="X92" i="16"/>
  <c r="Z92" i="16"/>
  <c r="X91" i="16"/>
  <c r="Z91" i="16"/>
  <c r="X90" i="16"/>
  <c r="Z90" i="16"/>
  <c r="X4" i="16"/>
  <c r="Z4" i="16"/>
  <c r="X89" i="16"/>
  <c r="Z89" i="16"/>
  <c r="R170" i="16"/>
  <c r="X170" i="16"/>
  <c r="Z170" i="16"/>
  <c r="Y170" i="16"/>
  <c r="X88" i="16"/>
  <c r="Z88" i="16"/>
  <c r="X87" i="16"/>
  <c r="Z87" i="16"/>
  <c r="X105" i="16"/>
  <c r="Z105" i="16"/>
  <c r="X147" i="16"/>
  <c r="Z147" i="16"/>
  <c r="X86" i="16"/>
  <c r="Z86" i="16"/>
  <c r="X13" i="16"/>
  <c r="Z13" i="16"/>
  <c r="X85" i="16"/>
  <c r="Z85" i="16"/>
  <c r="X84" i="16"/>
  <c r="Z84" i="16"/>
  <c r="X83" i="16"/>
  <c r="Z83" i="16"/>
  <c r="X82" i="16"/>
  <c r="Z82" i="16"/>
  <c r="X81" i="16"/>
  <c r="Z81" i="16"/>
  <c r="X80" i="16"/>
  <c r="Z80" i="16"/>
  <c r="X79" i="16"/>
  <c r="Z79" i="16"/>
  <c r="X78" i="16"/>
  <c r="Z78" i="16"/>
  <c r="X77" i="16"/>
  <c r="Z77" i="16"/>
  <c r="X12" i="16"/>
  <c r="Z12" i="16"/>
  <c r="X76" i="16"/>
  <c r="Z76" i="16"/>
  <c r="X75" i="16"/>
  <c r="Z75" i="16"/>
  <c r="X74" i="16"/>
  <c r="Z74" i="16"/>
  <c r="X146" i="16"/>
  <c r="Z146" i="16"/>
  <c r="X73" i="16"/>
  <c r="Z73" i="16"/>
  <c r="X156" i="16"/>
  <c r="Z156" i="16"/>
  <c r="X107" i="16"/>
  <c r="Z107" i="16"/>
  <c r="X11" i="16"/>
  <c r="Z11" i="16"/>
  <c r="X121" i="16"/>
  <c r="Z121" i="16"/>
  <c r="X72" i="16"/>
  <c r="Z72" i="16"/>
  <c r="X120" i="16"/>
  <c r="Z120" i="16"/>
  <c r="X8" i="16"/>
  <c r="Z8" i="16"/>
  <c r="X119" i="16"/>
  <c r="Z119" i="16"/>
  <c r="X118" i="16"/>
  <c r="Z118" i="16"/>
  <c r="X71" i="16"/>
  <c r="Z71" i="16"/>
  <c r="X113" i="16"/>
  <c r="Z113" i="16"/>
  <c r="X112" i="16"/>
  <c r="Z112" i="16"/>
  <c r="X111" i="16"/>
  <c r="Z111" i="16"/>
  <c r="X169" i="16"/>
  <c r="Z169" i="16"/>
  <c r="X117" i="16"/>
  <c r="Z117" i="16"/>
  <c r="X145" i="16"/>
  <c r="Z145" i="16"/>
  <c r="X70" i="16"/>
  <c r="Z70" i="16"/>
  <c r="X155" i="16"/>
  <c r="Z155" i="16"/>
  <c r="X69" i="16"/>
  <c r="Z69" i="16"/>
  <c r="X116" i="16"/>
  <c r="Z116" i="16"/>
  <c r="X110" i="16"/>
  <c r="Z110" i="16"/>
  <c r="X5" i="16"/>
  <c r="Z5" i="16"/>
  <c r="X154" i="16"/>
  <c r="Z154" i="16"/>
  <c r="X96" i="16"/>
  <c r="Z96" i="16"/>
  <c r="X109" i="16"/>
  <c r="Z109" i="16"/>
  <c r="X108" i="16"/>
  <c r="Z108" i="16"/>
  <c r="X99" i="16"/>
  <c r="Z99" i="16"/>
  <c r="R95" i="16"/>
  <c r="X95" i="16"/>
  <c r="Z95" i="16"/>
  <c r="Y95" i="16"/>
  <c r="U95" i="16"/>
  <c r="X115" i="16"/>
  <c r="Z115" i="16"/>
  <c r="R100" i="16"/>
  <c r="X100" i="16"/>
  <c r="Z100" i="16"/>
  <c r="Y100" i="16"/>
  <c r="U100" i="16"/>
  <c r="X98" i="16"/>
  <c r="Z98" i="16"/>
  <c r="Y168" i="16"/>
  <c r="X168" i="16"/>
  <c r="X167" i="16"/>
  <c r="X166" i="16"/>
  <c r="X165" i="16"/>
  <c r="X164" i="16"/>
  <c r="X163" i="16"/>
  <c r="X207" i="16"/>
  <c r="Z207" i="16"/>
  <c r="X206" i="16"/>
  <c r="Z206" i="16"/>
  <c r="X104" i="16"/>
  <c r="Z104" i="16"/>
  <c r="Y104" i="16"/>
  <c r="V104" i="16"/>
  <c r="X103" i="16"/>
  <c r="Z103" i="16"/>
  <c r="X102" i="16"/>
  <c r="Z102" i="16"/>
  <c r="X68" i="16"/>
  <c r="Z68" i="16"/>
  <c r="X67" i="16"/>
  <c r="Z67" i="16"/>
  <c r="X66" i="16"/>
  <c r="Z66" i="16"/>
  <c r="X10" i="16"/>
  <c r="Z10" i="16"/>
  <c r="X9" i="16"/>
  <c r="Z9" i="16"/>
  <c r="X6" i="16"/>
  <c r="Z6" i="16"/>
  <c r="Y6" i="16"/>
  <c r="V6" i="16"/>
  <c r="X3" i="16"/>
  <c r="Z3" i="16"/>
  <c r="AH164" i="15"/>
  <c r="AH163" i="15"/>
  <c r="AH162" i="15"/>
  <c r="AG164" i="15"/>
  <c r="AG163" i="15"/>
  <c r="AG162" i="15"/>
  <c r="AF164" i="15"/>
  <c r="AF163" i="15"/>
  <c r="AF162" i="15"/>
  <c r="AE164" i="15"/>
  <c r="AE163" i="15"/>
  <c r="AE162" i="15"/>
  <c r="AD164" i="15"/>
  <c r="AD163" i="15"/>
  <c r="AD162" i="15"/>
  <c r="AC164" i="15"/>
  <c r="AC163" i="15"/>
  <c r="AC162" i="15"/>
  <c r="AH154" i="15"/>
  <c r="AH153" i="15"/>
  <c r="AH152" i="15"/>
  <c r="AG154" i="15"/>
  <c r="AG153" i="15"/>
  <c r="AG152" i="15"/>
  <c r="AF154" i="15"/>
  <c r="AF153" i="15"/>
  <c r="AF152" i="15"/>
  <c r="AE154" i="15"/>
  <c r="AE153" i="15"/>
  <c r="AE152" i="15"/>
  <c r="AD154" i="15"/>
  <c r="AD153" i="15"/>
  <c r="AD152" i="15"/>
  <c r="AC154" i="15"/>
  <c r="AC153" i="15"/>
  <c r="AC152" i="15"/>
  <c r="AH145" i="15"/>
  <c r="AH144" i="15"/>
  <c r="AH143" i="15"/>
  <c r="AG145" i="15"/>
  <c r="AG144" i="15"/>
  <c r="AG143" i="15"/>
  <c r="AF145" i="15"/>
  <c r="AF144" i="15"/>
  <c r="AF143" i="15"/>
  <c r="AE145" i="15"/>
  <c r="AE144" i="15"/>
  <c r="AE143" i="15"/>
  <c r="AD145" i="15"/>
  <c r="AD144" i="15"/>
  <c r="AD143" i="15"/>
  <c r="AC145" i="15"/>
  <c r="AC144" i="15"/>
  <c r="AC143" i="15"/>
  <c r="AH113" i="15"/>
  <c r="AH112" i="15"/>
  <c r="AH111" i="15"/>
  <c r="AG113" i="15"/>
  <c r="AG112" i="15"/>
  <c r="AG111" i="15"/>
  <c r="AF113" i="15"/>
  <c r="AF112" i="15"/>
  <c r="AF111" i="15"/>
  <c r="AE113" i="15"/>
  <c r="AE112" i="15"/>
  <c r="AE111" i="15"/>
  <c r="AD113" i="15"/>
  <c r="AD112" i="15"/>
  <c r="AD111" i="15"/>
  <c r="AC113" i="15"/>
  <c r="AC112" i="15"/>
  <c r="AC111" i="15"/>
  <c r="AH16" i="15"/>
  <c r="AH15" i="15"/>
  <c r="AH14" i="15"/>
  <c r="AG16" i="15"/>
  <c r="AG15" i="15"/>
  <c r="AG14" i="15"/>
  <c r="AF16" i="15"/>
  <c r="AF15" i="15"/>
  <c r="AF14" i="15"/>
  <c r="AE16" i="15"/>
  <c r="AE15" i="15"/>
  <c r="AE14" i="15"/>
  <c r="AD16" i="15"/>
  <c r="AD15" i="15"/>
  <c r="AD14" i="15"/>
  <c r="AC16" i="15"/>
  <c r="AC15" i="15"/>
  <c r="AC14" i="15"/>
  <c r="AH12" i="15"/>
  <c r="AH11" i="15"/>
  <c r="AH10" i="15"/>
  <c r="AG12" i="15"/>
  <c r="AG11" i="15"/>
  <c r="AG10" i="15"/>
  <c r="AF12" i="15"/>
  <c r="AF11" i="15"/>
  <c r="AF10" i="15"/>
  <c r="AE12" i="15"/>
  <c r="AE11" i="15"/>
  <c r="AE10" i="15"/>
  <c r="AD12" i="15"/>
  <c r="AD11" i="15"/>
  <c r="AD10" i="15"/>
  <c r="AC12" i="15"/>
  <c r="AC11" i="15"/>
  <c r="AC10" i="15"/>
  <c r="AH8" i="15"/>
  <c r="AH7" i="15"/>
  <c r="AH6" i="15"/>
  <c r="AG8" i="15"/>
  <c r="AG7" i="15"/>
  <c r="AG6" i="15"/>
  <c r="AF8" i="15"/>
  <c r="AF7" i="15"/>
  <c r="AF6" i="15"/>
  <c r="AE8" i="15"/>
  <c r="AE7" i="15"/>
  <c r="AE6" i="15"/>
  <c r="AD8" i="15"/>
  <c r="AD7" i="15"/>
  <c r="AD6" i="15"/>
  <c r="AC8" i="15"/>
  <c r="AC7" i="15"/>
  <c r="AC6" i="15"/>
  <c r="AH4" i="15"/>
  <c r="AH3" i="15"/>
  <c r="AH2" i="15"/>
  <c r="AG4" i="15"/>
  <c r="AG3" i="15"/>
  <c r="AG2" i="15"/>
  <c r="AF4" i="15"/>
  <c r="AF3" i="15"/>
  <c r="AF2" i="15"/>
  <c r="AE4" i="15"/>
  <c r="AE3" i="15"/>
  <c r="AE2" i="15"/>
  <c r="AD4" i="15"/>
  <c r="AD3" i="15"/>
  <c r="AD2" i="15"/>
  <c r="AC4" i="15"/>
  <c r="AC3" i="15"/>
  <c r="AC2" i="15"/>
  <c r="R211" i="15"/>
  <c r="X211" i="15"/>
  <c r="Z211" i="15"/>
  <c r="X142" i="15"/>
  <c r="Z142" i="15"/>
  <c r="R210" i="15"/>
  <c r="X210" i="15"/>
  <c r="Z210" i="15"/>
  <c r="R209" i="15"/>
  <c r="X209" i="15"/>
  <c r="Z209" i="15"/>
  <c r="R208" i="15"/>
  <c r="X208" i="15"/>
  <c r="Z208" i="15"/>
  <c r="Y208" i="15"/>
  <c r="R207" i="15"/>
  <c r="X207" i="15"/>
  <c r="Z207" i="15"/>
  <c r="Y207" i="15"/>
  <c r="X141" i="15"/>
  <c r="Z141" i="15"/>
  <c r="X140" i="15"/>
  <c r="Z140" i="15"/>
  <c r="R206" i="15"/>
  <c r="X206" i="15"/>
  <c r="Z206" i="15"/>
  <c r="Y206" i="15"/>
  <c r="R205" i="15"/>
  <c r="X205" i="15"/>
  <c r="Z205" i="15"/>
  <c r="Y205" i="15"/>
  <c r="R204" i="15"/>
  <c r="X204" i="15"/>
  <c r="Z204" i="15"/>
  <c r="Y204" i="15"/>
  <c r="R203" i="15"/>
  <c r="X203" i="15"/>
  <c r="Z203" i="15"/>
  <c r="X160" i="15"/>
  <c r="Z160" i="15"/>
  <c r="R202" i="15"/>
  <c r="X202" i="15"/>
  <c r="Z202" i="15"/>
  <c r="R201" i="15"/>
  <c r="X201" i="15"/>
  <c r="Z201" i="15"/>
  <c r="X139" i="15"/>
  <c r="Z139" i="15"/>
  <c r="X138" i="15"/>
  <c r="Z138" i="15"/>
  <c r="X137" i="15"/>
  <c r="Z137" i="15"/>
  <c r="R200" i="15"/>
  <c r="X200" i="15"/>
  <c r="Z200" i="15"/>
  <c r="Y200" i="15"/>
  <c r="R199" i="15"/>
  <c r="X199" i="15"/>
  <c r="Z199" i="15"/>
  <c r="Y199" i="15"/>
  <c r="R198" i="15"/>
  <c r="X198" i="15"/>
  <c r="Z198" i="15"/>
  <c r="Y198" i="15"/>
  <c r="R197" i="15"/>
  <c r="X197" i="15"/>
  <c r="Z197" i="15"/>
  <c r="X136" i="15"/>
  <c r="Z136" i="15"/>
  <c r="X135" i="15"/>
  <c r="Z135" i="15"/>
  <c r="R196" i="15"/>
  <c r="X196" i="15"/>
  <c r="Z196" i="15"/>
  <c r="X134" i="15"/>
  <c r="Z134" i="15"/>
  <c r="X151" i="15"/>
  <c r="Z151" i="15"/>
  <c r="R103" i="15"/>
  <c r="X103" i="15"/>
  <c r="Z103" i="15"/>
  <c r="Y103" i="15"/>
  <c r="R195" i="15"/>
  <c r="X195" i="15"/>
  <c r="Z195" i="15"/>
  <c r="R194" i="15"/>
  <c r="X194" i="15"/>
  <c r="Z194" i="15"/>
  <c r="X133" i="15"/>
  <c r="Z133" i="15"/>
  <c r="X132" i="15"/>
  <c r="Z132" i="15"/>
  <c r="X2" i="15"/>
  <c r="Z2" i="15"/>
  <c r="Y2" i="15"/>
  <c r="W2" i="15"/>
  <c r="R193" i="15"/>
  <c r="X193" i="15"/>
  <c r="Z193" i="15"/>
  <c r="X131" i="15"/>
  <c r="Z131" i="15"/>
  <c r="X130" i="15"/>
  <c r="Z130" i="15"/>
  <c r="X129" i="15"/>
  <c r="Z129" i="15"/>
  <c r="X150" i="15"/>
  <c r="Z150" i="15"/>
  <c r="X128" i="15"/>
  <c r="Z128" i="15"/>
  <c r="X127" i="15"/>
  <c r="Z127" i="15"/>
  <c r="X159" i="15"/>
  <c r="Z159" i="15"/>
  <c r="R192" i="15"/>
  <c r="X192" i="15"/>
  <c r="Z192" i="15"/>
  <c r="Y192" i="15"/>
  <c r="R191" i="15"/>
  <c r="X191" i="15"/>
  <c r="Z191" i="15"/>
  <c r="Y191" i="15"/>
  <c r="X149" i="15"/>
  <c r="Z149" i="15"/>
  <c r="X158" i="15"/>
  <c r="Z158" i="15"/>
  <c r="X126" i="15"/>
  <c r="Z126" i="15"/>
  <c r="X157" i="15"/>
  <c r="Z157" i="15"/>
  <c r="X66" i="15"/>
  <c r="Z66" i="15"/>
  <c r="X125" i="15"/>
  <c r="Z125" i="15"/>
  <c r="X148" i="15"/>
  <c r="Z148" i="15"/>
  <c r="X65" i="15"/>
  <c r="Z65" i="15"/>
  <c r="R190" i="15"/>
  <c r="X190" i="15"/>
  <c r="Z190" i="15"/>
  <c r="X124" i="15"/>
  <c r="Z124" i="15"/>
  <c r="X147" i="15"/>
  <c r="Z147" i="15"/>
  <c r="X110" i="15"/>
  <c r="Z110" i="15"/>
  <c r="X64" i="15"/>
  <c r="Z64" i="15"/>
  <c r="X63" i="15"/>
  <c r="Z63" i="15"/>
  <c r="X62" i="15"/>
  <c r="Z62" i="15"/>
  <c r="X61" i="15"/>
  <c r="Z61" i="15"/>
  <c r="X60" i="15"/>
  <c r="Z60" i="15"/>
  <c r="X59" i="15"/>
  <c r="Z59" i="15"/>
  <c r="X58" i="15"/>
  <c r="Z58" i="15"/>
  <c r="X57" i="15"/>
  <c r="Z57" i="15"/>
  <c r="R93" i="15"/>
  <c r="X93" i="15"/>
  <c r="Z93" i="15"/>
  <c r="Y93" i="15"/>
  <c r="X56" i="15"/>
  <c r="Z56" i="15"/>
  <c r="X55" i="15"/>
  <c r="Z55" i="15"/>
  <c r="X54" i="15"/>
  <c r="Z54" i="15"/>
  <c r="X53" i="15"/>
  <c r="Z53" i="15"/>
  <c r="X52" i="15"/>
  <c r="Z52" i="15"/>
  <c r="X51" i="15"/>
  <c r="Z51" i="15"/>
  <c r="X50" i="15"/>
  <c r="Z50" i="15"/>
  <c r="X49" i="15"/>
  <c r="Z49" i="15"/>
  <c r="X48" i="15"/>
  <c r="Z48" i="15"/>
  <c r="X47" i="15"/>
  <c r="Z47" i="15"/>
  <c r="X46" i="15"/>
  <c r="Z46" i="15"/>
  <c r="X45" i="15"/>
  <c r="Z45" i="15"/>
  <c r="R189" i="15"/>
  <c r="X189" i="15"/>
  <c r="Z189" i="15"/>
  <c r="X123" i="15"/>
  <c r="Z123" i="15"/>
  <c r="R97" i="15"/>
  <c r="X97" i="15"/>
  <c r="Z97" i="15"/>
  <c r="Y97" i="15"/>
  <c r="X156" i="15"/>
  <c r="Z156" i="15"/>
  <c r="X44" i="15"/>
  <c r="Z44" i="15"/>
  <c r="X43" i="15"/>
  <c r="Z43" i="15"/>
  <c r="X101" i="15"/>
  <c r="Z101" i="15"/>
  <c r="X42" i="15"/>
  <c r="Z42" i="15"/>
  <c r="X41" i="15"/>
  <c r="Z41" i="15"/>
  <c r="X40" i="15"/>
  <c r="Z40" i="15"/>
  <c r="X39" i="15"/>
  <c r="Z39" i="15"/>
  <c r="X38" i="15"/>
  <c r="Z38" i="15"/>
  <c r="X37" i="15"/>
  <c r="Z37" i="15"/>
  <c r="X90" i="15"/>
  <c r="Z90" i="15"/>
  <c r="R188" i="15"/>
  <c r="X188" i="15"/>
  <c r="Z188" i="15"/>
  <c r="X122" i="15"/>
  <c r="Z122" i="15"/>
  <c r="R187" i="15"/>
  <c r="X187" i="15"/>
  <c r="Z187" i="15"/>
  <c r="X121" i="15"/>
  <c r="Z121" i="15"/>
  <c r="X36" i="15"/>
  <c r="Z36" i="15"/>
  <c r="X35" i="15"/>
  <c r="Z35" i="15"/>
  <c r="X34" i="15"/>
  <c r="Z34" i="15"/>
  <c r="X33" i="15"/>
  <c r="Z33" i="15"/>
  <c r="X32" i="15"/>
  <c r="Z32" i="15"/>
  <c r="X31" i="15"/>
  <c r="Z31" i="15"/>
  <c r="X155" i="15"/>
  <c r="Z155" i="15"/>
  <c r="X30" i="15"/>
  <c r="Z30" i="15"/>
  <c r="X29" i="15"/>
  <c r="Z29" i="15"/>
  <c r="X28" i="15"/>
  <c r="Z28" i="15"/>
  <c r="X27" i="15"/>
  <c r="Z27" i="15"/>
  <c r="X26" i="15"/>
  <c r="Z26" i="15"/>
  <c r="X25" i="15"/>
  <c r="Z25" i="15"/>
  <c r="X89" i="15"/>
  <c r="Z89" i="15"/>
  <c r="X146" i="15"/>
  <c r="Z146" i="15"/>
  <c r="R175" i="15"/>
  <c r="X175" i="15"/>
  <c r="Z175" i="15"/>
  <c r="X120" i="15"/>
  <c r="Z120" i="15"/>
  <c r="R174" i="15"/>
  <c r="X174" i="15"/>
  <c r="Z174" i="15"/>
  <c r="Y174" i="15"/>
  <c r="X119" i="15"/>
  <c r="Z119" i="15"/>
  <c r="Y119" i="15"/>
  <c r="V119" i="15"/>
  <c r="X24" i="15"/>
  <c r="Z24" i="15"/>
  <c r="X23" i="15"/>
  <c r="Z23" i="15"/>
  <c r="X22" i="15"/>
  <c r="Z22" i="15"/>
  <c r="X21" i="15"/>
  <c r="Z21" i="15"/>
  <c r="X20" i="15"/>
  <c r="Z20" i="15"/>
  <c r="X19" i="15"/>
  <c r="Z19" i="15"/>
  <c r="X18" i="15"/>
  <c r="Z18" i="15"/>
  <c r="X17" i="15"/>
  <c r="Z17" i="15"/>
  <c r="X16" i="15"/>
  <c r="Z16" i="15"/>
  <c r="X88" i="15"/>
  <c r="Z88" i="15"/>
  <c r="X15" i="15"/>
  <c r="Z15" i="15"/>
  <c r="X87" i="15"/>
  <c r="Z87" i="15"/>
  <c r="X4" i="15"/>
  <c r="Z4" i="15"/>
  <c r="X86" i="15"/>
  <c r="Z86" i="15"/>
  <c r="R173" i="15"/>
  <c r="X173" i="15"/>
  <c r="Z173" i="15"/>
  <c r="Y173" i="15"/>
  <c r="X85" i="15"/>
  <c r="Z85" i="15"/>
  <c r="X84" i="15"/>
  <c r="Z84" i="15"/>
  <c r="X100" i="15"/>
  <c r="Z100" i="15"/>
  <c r="X154" i="15"/>
  <c r="Z154" i="15"/>
  <c r="X83" i="15"/>
  <c r="Z83" i="15"/>
  <c r="X14" i="15"/>
  <c r="Z14" i="15"/>
  <c r="X13" i="15"/>
  <c r="Z13" i="15"/>
  <c r="X82" i="15"/>
  <c r="Z82" i="15"/>
  <c r="X81" i="15"/>
  <c r="Z81" i="15"/>
  <c r="X80" i="15"/>
  <c r="Z80" i="15"/>
  <c r="X12" i="15"/>
  <c r="Z12" i="15"/>
  <c r="X79" i="15"/>
  <c r="Z79" i="15"/>
  <c r="X78" i="15"/>
  <c r="Z78" i="15"/>
  <c r="X77" i="15"/>
  <c r="Z77" i="15"/>
  <c r="X11" i="15"/>
  <c r="Z11" i="15"/>
  <c r="X76" i="15"/>
  <c r="Z76" i="15"/>
  <c r="X10" i="15"/>
  <c r="Z10" i="15"/>
  <c r="X75" i="15"/>
  <c r="Z75" i="15"/>
  <c r="X74" i="15"/>
  <c r="Z74" i="15"/>
  <c r="X153" i="15"/>
  <c r="Z153" i="15"/>
  <c r="X73" i="15"/>
  <c r="Z73" i="15"/>
  <c r="X145" i="15"/>
  <c r="Z145" i="15"/>
  <c r="X118" i="15"/>
  <c r="Z118" i="15"/>
  <c r="X9" i="15"/>
  <c r="Z9" i="15"/>
  <c r="X72" i="15"/>
  <c r="Z72" i="15"/>
  <c r="X117" i="15"/>
  <c r="Z117" i="15"/>
  <c r="X6" i="15"/>
  <c r="Z6" i="15"/>
  <c r="X116" i="15"/>
  <c r="Z116" i="15"/>
  <c r="X115" i="15"/>
  <c r="Z115" i="15"/>
  <c r="X71" i="15"/>
  <c r="Z71" i="15"/>
  <c r="R172" i="15"/>
  <c r="X172" i="15"/>
  <c r="Z172" i="15"/>
  <c r="X114" i="15"/>
  <c r="Z114" i="15"/>
  <c r="X109" i="15"/>
  <c r="Z109" i="15"/>
  <c r="X108" i="15"/>
  <c r="Z108" i="15"/>
  <c r="X107" i="15"/>
  <c r="Z107" i="15"/>
  <c r="X152" i="15"/>
  <c r="Z152" i="15"/>
  <c r="X144" i="15"/>
  <c r="Z144" i="15"/>
  <c r="X70" i="15"/>
  <c r="Z70" i="15"/>
  <c r="X113" i="15"/>
  <c r="Z113" i="15"/>
  <c r="X5" i="15"/>
  <c r="Z5" i="15"/>
  <c r="X106" i="15"/>
  <c r="Z106" i="15"/>
  <c r="X143" i="15"/>
  <c r="Z143" i="15"/>
  <c r="X92" i="15"/>
  <c r="Z92" i="15"/>
  <c r="X105" i="15"/>
  <c r="Z105" i="15"/>
  <c r="R91" i="15"/>
  <c r="X91" i="15"/>
  <c r="Z91" i="15"/>
  <c r="Y91" i="15"/>
  <c r="X95" i="15"/>
  <c r="Z95" i="15"/>
  <c r="X104" i="15"/>
  <c r="Z104" i="15"/>
  <c r="X112" i="15"/>
  <c r="Z112" i="15"/>
  <c r="R102" i="15"/>
  <c r="X102" i="15"/>
  <c r="Z102" i="15"/>
  <c r="Y102" i="15"/>
  <c r="R96" i="15"/>
  <c r="X96" i="15"/>
  <c r="Z96" i="15"/>
  <c r="Y96" i="15"/>
  <c r="X94" i="15"/>
  <c r="Z94" i="15"/>
  <c r="Y186" i="15"/>
  <c r="X186" i="15"/>
  <c r="X185" i="15"/>
  <c r="X184" i="15"/>
  <c r="X183" i="15"/>
  <c r="X182" i="15"/>
  <c r="X181" i="15"/>
  <c r="X180" i="15"/>
  <c r="X179" i="15"/>
  <c r="X178" i="15"/>
  <c r="X177" i="15"/>
  <c r="X176" i="15"/>
  <c r="Y171" i="15"/>
  <c r="X171" i="15"/>
  <c r="X170" i="15"/>
  <c r="X169" i="15"/>
  <c r="X168" i="15"/>
  <c r="X167" i="15"/>
  <c r="X166" i="15"/>
  <c r="Y111" i="15"/>
  <c r="X111" i="15"/>
  <c r="V111" i="15"/>
  <c r="Y161" i="15"/>
  <c r="X161" i="15"/>
  <c r="V161" i="15"/>
  <c r="X8" i="15"/>
  <c r="Z8" i="15"/>
  <c r="X3" i="15"/>
  <c r="Z3" i="15"/>
  <c r="X7" i="15"/>
  <c r="Z7" i="15"/>
  <c r="X99" i="15"/>
  <c r="Z99" i="15"/>
  <c r="X98" i="15"/>
  <c r="Z98" i="15"/>
  <c r="X165" i="15"/>
  <c r="Z165" i="15"/>
  <c r="X68" i="15"/>
  <c r="Z68" i="15"/>
  <c r="X164" i="15"/>
  <c r="Z164" i="15"/>
  <c r="X163" i="15"/>
  <c r="Z163" i="15"/>
  <c r="X67" i="15"/>
  <c r="Z67" i="15"/>
  <c r="X162" i="15"/>
  <c r="Z162" i="15"/>
  <c r="X69" i="15"/>
  <c r="Z69" i="15"/>
  <c r="X213" i="15"/>
  <c r="Z213" i="15"/>
  <c r="X212" i="15"/>
  <c r="Z212" i="15"/>
  <c r="AG294" i="3"/>
  <c r="AF294" i="3"/>
  <c r="AE294" i="3"/>
  <c r="AD294" i="3"/>
  <c r="AC294" i="3"/>
  <c r="AB294" i="3"/>
  <c r="AG285" i="3"/>
  <c r="AF285" i="3"/>
  <c r="AE285" i="3"/>
  <c r="AD285" i="3"/>
  <c r="AC285" i="3"/>
  <c r="AB285" i="3"/>
  <c r="AG257" i="3"/>
  <c r="AF257" i="3"/>
  <c r="AE257" i="3"/>
  <c r="AD257" i="3"/>
  <c r="AC257" i="3"/>
  <c r="AB257" i="3"/>
  <c r="AG217" i="3"/>
  <c r="AF217" i="3"/>
  <c r="AE217" i="3"/>
  <c r="AD217" i="3"/>
  <c r="AC217" i="3"/>
  <c r="AB217" i="3"/>
  <c r="AG141" i="3"/>
  <c r="AG140" i="3"/>
  <c r="AG139" i="3"/>
  <c r="AF141" i="3"/>
  <c r="AF140" i="3"/>
  <c r="AF139" i="3"/>
  <c r="AE141" i="3"/>
  <c r="AE140" i="3"/>
  <c r="AE139" i="3"/>
  <c r="AD141" i="3"/>
  <c r="AD140" i="3"/>
  <c r="AD139" i="3"/>
  <c r="AC141" i="3"/>
  <c r="AC140" i="3"/>
  <c r="AC139" i="3"/>
  <c r="AB141" i="3"/>
  <c r="AB140" i="3"/>
  <c r="AB139" i="3"/>
  <c r="AG137" i="3"/>
  <c r="AG136" i="3"/>
  <c r="AG135" i="3"/>
  <c r="AF137" i="3"/>
  <c r="AF136" i="3"/>
  <c r="AF135" i="3"/>
  <c r="AE137" i="3"/>
  <c r="AE136" i="3"/>
  <c r="AE135" i="3"/>
  <c r="AD137" i="3"/>
  <c r="AD136" i="3"/>
  <c r="AD135" i="3"/>
  <c r="AC137" i="3"/>
  <c r="AC136" i="3"/>
  <c r="AC135" i="3"/>
  <c r="AB137" i="3"/>
  <c r="AB136" i="3"/>
  <c r="AB135" i="3"/>
  <c r="AG133" i="3"/>
  <c r="AG132" i="3"/>
  <c r="AG131" i="3"/>
  <c r="AG128" i="3"/>
  <c r="AG127" i="3"/>
  <c r="AG126" i="3"/>
  <c r="AG123" i="3"/>
  <c r="AG122" i="3"/>
  <c r="AG121" i="3"/>
  <c r="AF133" i="3"/>
  <c r="AF132" i="3"/>
  <c r="AF131" i="3"/>
  <c r="AF128" i="3"/>
  <c r="AF127" i="3"/>
  <c r="AF126" i="3"/>
  <c r="AF123" i="3"/>
  <c r="AF122" i="3"/>
  <c r="AF121" i="3"/>
  <c r="AE133" i="3"/>
  <c r="AE132" i="3"/>
  <c r="AE131" i="3"/>
  <c r="AE128" i="3"/>
  <c r="AE127" i="3"/>
  <c r="AE126" i="3"/>
  <c r="AE123" i="3"/>
  <c r="AE122" i="3"/>
  <c r="AE121" i="3"/>
  <c r="AD133" i="3"/>
  <c r="AD132" i="3"/>
  <c r="AD131" i="3"/>
  <c r="AD128" i="3"/>
  <c r="AD127" i="3"/>
  <c r="AD126" i="3"/>
  <c r="AD123" i="3"/>
  <c r="AD122" i="3"/>
  <c r="AD121" i="3"/>
  <c r="AC133" i="3"/>
  <c r="AC132" i="3"/>
  <c r="AC131" i="3"/>
  <c r="AC128" i="3"/>
  <c r="AC127" i="3"/>
  <c r="AC126" i="3"/>
  <c r="AC123" i="3"/>
  <c r="AC122" i="3"/>
  <c r="AC121" i="3"/>
  <c r="AB133" i="3"/>
  <c r="AB132" i="3"/>
  <c r="AB131" i="3"/>
  <c r="AB128" i="3"/>
  <c r="AB127" i="3"/>
  <c r="AB126" i="3"/>
  <c r="AB123" i="3"/>
  <c r="AB122" i="3"/>
  <c r="AB121" i="3"/>
  <c r="AG307" i="3"/>
  <c r="AF307" i="3"/>
  <c r="AE307" i="3"/>
  <c r="AD307" i="3"/>
  <c r="AC307" i="3"/>
  <c r="AB307" i="3"/>
  <c r="AG315" i="3"/>
  <c r="AF315" i="3"/>
  <c r="AE315" i="3"/>
  <c r="AD315" i="3"/>
  <c r="AC315" i="3"/>
  <c r="AB315" i="3"/>
  <c r="AG345" i="3"/>
  <c r="AF345" i="3"/>
  <c r="AE345" i="3"/>
  <c r="AD345" i="3"/>
  <c r="AC345" i="3"/>
  <c r="AB345" i="3"/>
  <c r="AG110" i="3"/>
  <c r="AF110" i="3"/>
  <c r="AE110" i="3"/>
  <c r="AD110" i="3"/>
  <c r="AC110" i="3"/>
  <c r="AB110" i="3"/>
  <c r="AG63" i="3"/>
  <c r="AF63" i="3"/>
  <c r="AE63" i="3"/>
  <c r="AD63" i="3"/>
  <c r="AC63" i="3"/>
  <c r="AB63" i="3"/>
  <c r="AG57" i="3"/>
  <c r="AG55" i="3"/>
  <c r="AF56" i="3"/>
  <c r="AF55" i="3"/>
  <c r="AE55" i="3"/>
  <c r="AD55" i="3"/>
  <c r="AC55" i="3"/>
  <c r="AB55" i="3"/>
  <c r="AG45" i="3"/>
  <c r="AG43" i="3"/>
  <c r="AF43" i="3"/>
  <c r="AE43" i="3"/>
  <c r="AD43" i="3"/>
  <c r="AC43" i="3"/>
  <c r="AB43" i="3"/>
  <c r="AG26" i="3"/>
  <c r="AF26" i="3"/>
  <c r="AE26" i="3"/>
  <c r="AD26" i="3"/>
  <c r="AC26" i="3"/>
  <c r="AB26" i="3"/>
  <c r="AG3" i="3"/>
  <c r="AF3" i="3"/>
  <c r="AE3" i="3"/>
  <c r="AD3" i="3"/>
  <c r="AC3" i="3"/>
  <c r="AB3" i="3"/>
  <c r="AG462" i="2"/>
  <c r="AF462" i="2"/>
  <c r="AE462" i="2"/>
  <c r="AD462" i="2"/>
  <c r="AC462" i="2"/>
  <c r="AB462" i="2"/>
  <c r="AG432" i="2"/>
  <c r="AF432" i="2"/>
  <c r="AE432" i="2"/>
  <c r="AD432" i="2"/>
  <c r="AC432" i="2"/>
  <c r="AB432" i="2"/>
  <c r="AG422" i="2"/>
  <c r="AF422" i="2"/>
  <c r="AE422" i="2"/>
  <c r="AD422" i="2"/>
  <c r="AC422" i="2"/>
  <c r="AB422" i="2"/>
  <c r="AG207" i="2"/>
  <c r="AF207" i="2"/>
  <c r="AE207" i="2"/>
  <c r="AD207" i="2"/>
  <c r="AC207" i="2"/>
  <c r="AG204" i="2"/>
  <c r="AF204" i="2"/>
  <c r="AE204" i="2"/>
  <c r="AD204" i="2"/>
  <c r="AC204" i="2"/>
  <c r="AB204" i="2"/>
  <c r="AB207" i="2"/>
  <c r="AG188" i="2"/>
  <c r="AF188" i="2"/>
  <c r="AE188" i="2"/>
  <c r="AD188" i="2"/>
  <c r="AC188" i="2"/>
  <c r="AB188" i="2"/>
  <c r="AA183" i="2"/>
  <c r="AA129" i="2"/>
  <c r="AG79" i="2"/>
  <c r="AF79" i="2"/>
  <c r="AE79" i="2"/>
  <c r="AD79" i="2"/>
  <c r="AC79" i="2"/>
  <c r="AG76" i="2"/>
  <c r="AF76" i="2"/>
  <c r="AE76" i="2"/>
  <c r="AD76" i="2"/>
  <c r="AC76" i="2"/>
  <c r="AB76" i="2"/>
  <c r="AB79" i="2"/>
  <c r="AB78" i="2"/>
  <c r="AG65" i="2"/>
  <c r="AF65" i="2"/>
  <c r="AE65" i="2"/>
  <c r="AD65" i="2"/>
  <c r="AC65" i="2"/>
  <c r="AB65" i="2"/>
  <c r="AB66" i="2"/>
  <c r="AA48" i="2"/>
  <c r="AG28" i="2"/>
  <c r="AF28" i="2"/>
  <c r="AE28" i="2"/>
  <c r="AD28" i="2"/>
  <c r="AC28" i="2"/>
  <c r="AB28" i="2"/>
  <c r="AG22" i="2"/>
  <c r="AF22" i="2"/>
  <c r="AE22" i="2"/>
  <c r="AD22" i="2"/>
  <c r="AC22" i="2"/>
  <c r="AB22" i="2"/>
  <c r="AG3" i="2"/>
  <c r="AF3" i="2"/>
  <c r="AE3" i="2"/>
  <c r="AD3" i="2"/>
  <c r="AC3" i="2"/>
  <c r="AB3" i="2"/>
  <c r="AG176" i="1"/>
  <c r="AF176" i="1"/>
  <c r="AE176" i="1"/>
  <c r="AD176" i="1"/>
  <c r="AC176" i="1"/>
  <c r="AB176" i="1"/>
  <c r="AG440" i="1"/>
  <c r="AF440" i="1"/>
  <c r="AE440" i="1"/>
  <c r="AD440" i="1"/>
  <c r="AC440" i="1"/>
  <c r="AB440" i="1"/>
  <c r="W440" i="1"/>
  <c r="Y440" i="1"/>
  <c r="W441" i="1"/>
  <c r="Y441" i="1"/>
  <c r="V443" i="1"/>
  <c r="Y443" i="1"/>
  <c r="V448" i="1"/>
  <c r="Y448" i="1"/>
  <c r="V449" i="1"/>
  <c r="Y449" i="1"/>
  <c r="V451" i="1"/>
  <c r="Y451" i="1"/>
  <c r="AG411" i="1"/>
  <c r="AF411" i="1"/>
  <c r="AE411" i="1"/>
  <c r="AD411" i="1"/>
  <c r="AC411" i="1"/>
  <c r="AB411" i="1"/>
  <c r="Y406" i="1"/>
  <c r="Y408" i="1"/>
  <c r="AG400" i="1"/>
  <c r="AF400" i="1"/>
  <c r="AE400" i="1"/>
  <c r="AD400" i="1"/>
  <c r="AC400" i="1"/>
  <c r="AB400" i="1"/>
  <c r="AA396" i="1"/>
  <c r="Y190" i="1"/>
  <c r="Y198" i="1"/>
  <c r="Y206" i="1"/>
  <c r="Y208" i="1"/>
  <c r="Y210" i="1"/>
  <c r="Y259" i="1"/>
  <c r="Y272" i="1"/>
  <c r="Y277" i="1"/>
  <c r="Y309" i="1"/>
  <c r="Y324" i="1"/>
  <c r="Y345" i="1"/>
  <c r="Y346" i="1"/>
  <c r="Y354" i="1"/>
  <c r="Y365" i="1"/>
  <c r="Y366" i="1"/>
  <c r="Y374" i="1"/>
  <c r="Y375" i="1"/>
  <c r="Y379" i="1"/>
  <c r="Y384" i="1"/>
  <c r="Y394" i="1"/>
  <c r="AG190" i="1"/>
  <c r="AF190" i="1"/>
  <c r="AE190" i="1"/>
  <c r="AD190" i="1"/>
  <c r="AC190" i="1"/>
  <c r="AB190" i="1"/>
  <c r="AA171" i="1"/>
  <c r="Y122" i="1"/>
  <c r="Y169" i="1"/>
  <c r="AG123" i="1"/>
  <c r="AF123" i="1"/>
  <c r="AE123" i="1"/>
  <c r="AD123" i="1"/>
  <c r="AC123" i="1"/>
  <c r="AB123" i="1"/>
  <c r="AG64" i="1"/>
  <c r="AG63" i="1"/>
  <c r="AF63" i="1"/>
  <c r="AE63" i="1"/>
  <c r="AD63" i="1"/>
  <c r="AC63" i="1"/>
  <c r="AE64" i="1"/>
  <c r="AD64" i="1"/>
  <c r="AC64" i="1"/>
  <c r="AB64" i="1"/>
  <c r="AB63" i="1"/>
  <c r="AG44" i="1"/>
  <c r="AF44" i="1"/>
  <c r="AE44" i="1"/>
  <c r="AD44" i="1"/>
  <c r="AC44" i="1"/>
  <c r="AB44" i="1"/>
  <c r="AG27" i="1"/>
  <c r="AF27" i="1"/>
  <c r="AE27" i="1"/>
  <c r="AD27" i="1"/>
  <c r="AC27" i="1"/>
  <c r="AB27" i="1"/>
  <c r="AG21" i="1"/>
  <c r="AF21" i="1"/>
  <c r="AE21" i="1"/>
  <c r="AD21" i="1"/>
  <c r="AC21" i="1"/>
  <c r="AB21" i="1"/>
  <c r="AG5" i="1"/>
  <c r="AF5" i="1"/>
  <c r="AE5" i="1"/>
  <c r="AD5" i="1"/>
  <c r="AC5" i="1"/>
  <c r="AB5" i="1"/>
  <c r="AG413" i="1"/>
  <c r="AF413" i="1"/>
  <c r="AE413" i="1"/>
  <c r="AD413" i="1"/>
  <c r="AC413" i="1"/>
  <c r="AG182" i="14"/>
  <c r="AG183" i="14"/>
  <c r="AF183" i="14"/>
  <c r="AE183" i="14"/>
  <c r="AD183" i="14"/>
  <c r="AC183" i="14"/>
  <c r="AB183" i="14"/>
  <c r="AB182" i="14"/>
  <c r="AG176" i="14"/>
  <c r="AG175" i="14"/>
  <c r="AF175" i="14"/>
  <c r="AE175" i="14"/>
  <c r="AD175" i="14"/>
  <c r="AC175" i="14"/>
  <c r="AB176" i="14"/>
  <c r="AB175" i="14"/>
  <c r="AG136" i="14"/>
  <c r="AG135" i="14"/>
  <c r="AF136" i="14"/>
  <c r="AF135" i="14"/>
  <c r="AE136" i="14"/>
  <c r="AE135" i="14"/>
  <c r="AD136" i="14"/>
  <c r="AD135" i="14"/>
  <c r="AC136" i="14"/>
  <c r="AC135" i="14"/>
  <c r="AB136" i="14"/>
  <c r="AB135" i="14"/>
  <c r="AG103" i="14"/>
  <c r="AG102" i="14"/>
  <c r="AF103" i="14"/>
  <c r="AF102" i="14"/>
  <c r="AE103" i="14"/>
  <c r="AE102" i="14"/>
  <c r="AD103" i="14"/>
  <c r="AD102" i="14"/>
  <c r="AC103" i="14"/>
  <c r="AC102" i="14"/>
  <c r="AB103" i="14"/>
  <c r="AB102" i="14"/>
  <c r="AG90" i="14"/>
  <c r="AG89" i="14"/>
  <c r="AF90" i="14"/>
  <c r="AF89" i="14"/>
  <c r="AE90" i="14"/>
  <c r="AE89" i="14"/>
  <c r="AD90" i="14"/>
  <c r="AD89" i="14"/>
  <c r="AC90" i="14"/>
  <c r="AC89" i="14"/>
  <c r="AB89" i="14"/>
  <c r="AB90" i="14"/>
  <c r="AG34" i="14"/>
  <c r="AG33" i="14"/>
  <c r="AF34" i="14"/>
  <c r="AF33" i="14"/>
  <c r="AE34" i="14"/>
  <c r="AE33" i="14"/>
  <c r="AD34" i="14"/>
  <c r="AD33" i="14"/>
  <c r="AC34" i="14"/>
  <c r="AC33" i="14"/>
  <c r="AB34" i="14"/>
  <c r="AB33" i="14"/>
  <c r="AG4" i="14"/>
  <c r="AG3" i="14"/>
  <c r="AF4" i="14"/>
  <c r="AF3" i="14"/>
  <c r="AE4" i="14"/>
  <c r="AE3" i="14"/>
  <c r="AD4" i="14"/>
  <c r="AD3" i="14"/>
  <c r="AC4" i="14"/>
  <c r="AC3" i="14"/>
  <c r="AB4" i="14"/>
  <c r="AB3" i="14"/>
  <c r="X133" i="14"/>
  <c r="Z133" i="14"/>
  <c r="X132" i="14"/>
  <c r="Z132" i="14"/>
  <c r="X131" i="14"/>
  <c r="Z131" i="14"/>
  <c r="X130" i="14"/>
  <c r="Z130" i="14"/>
  <c r="X129" i="14"/>
  <c r="Z129" i="14"/>
  <c r="X127" i="14"/>
  <c r="Z127" i="14"/>
  <c r="X121" i="14"/>
  <c r="Z121" i="14"/>
  <c r="X110" i="14"/>
  <c r="Z110" i="14"/>
  <c r="X106" i="14"/>
  <c r="Z106" i="14"/>
  <c r="X100" i="14"/>
  <c r="Z100" i="14"/>
  <c r="X99" i="14"/>
  <c r="Z99" i="14"/>
  <c r="X98" i="14"/>
  <c r="Z98" i="14"/>
  <c r="X97" i="14"/>
  <c r="Z97" i="14"/>
  <c r="X96" i="14"/>
  <c r="Z96" i="14"/>
  <c r="X94" i="14"/>
  <c r="Z94" i="14"/>
  <c r="X92" i="14"/>
  <c r="Z92" i="14"/>
  <c r="X91" i="14"/>
  <c r="Z91" i="14"/>
  <c r="X90" i="14"/>
  <c r="Z90" i="14"/>
  <c r="X31" i="14"/>
  <c r="Z31" i="14"/>
  <c r="X30" i="14"/>
  <c r="Z30" i="14"/>
  <c r="X29" i="14"/>
  <c r="Z29" i="14"/>
  <c r="X28" i="14"/>
  <c r="Z28" i="14"/>
  <c r="X26" i="14"/>
  <c r="Z26" i="14"/>
  <c r="X27" i="14"/>
  <c r="Z27" i="14"/>
  <c r="X25" i="14"/>
  <c r="Z25" i="14"/>
  <c r="X24" i="14"/>
  <c r="Z24" i="14"/>
  <c r="X23" i="14"/>
  <c r="Z23" i="14"/>
  <c r="X22" i="14"/>
  <c r="Z22" i="14"/>
  <c r="X21" i="14"/>
  <c r="Z21" i="14"/>
  <c r="X20" i="14"/>
  <c r="Z20" i="14"/>
  <c r="X19" i="14"/>
  <c r="Z19" i="14"/>
  <c r="X18" i="14"/>
  <c r="Z18" i="14"/>
  <c r="X17" i="14"/>
  <c r="Z17" i="14"/>
  <c r="X16" i="14"/>
  <c r="Z16" i="14"/>
  <c r="X15" i="14"/>
  <c r="Z15" i="14"/>
  <c r="X14" i="14"/>
  <c r="Z14" i="14"/>
  <c r="X13" i="14"/>
  <c r="Z13" i="14"/>
  <c r="X12" i="14"/>
  <c r="Z12" i="14"/>
  <c r="X11" i="14"/>
  <c r="Z11" i="14"/>
  <c r="X9" i="14"/>
  <c r="Z9" i="14"/>
  <c r="X8" i="14"/>
  <c r="Z8" i="14"/>
  <c r="X7" i="14"/>
  <c r="Z7" i="14"/>
  <c r="X6" i="14"/>
  <c r="Z6" i="14"/>
  <c r="X5" i="14"/>
  <c r="Z5" i="14"/>
  <c r="X4" i="14"/>
  <c r="Z4" i="14"/>
  <c r="X2" i="14"/>
  <c r="Z2" i="14"/>
  <c r="R143" i="14"/>
  <c r="X143" i="14"/>
  <c r="Z143" i="14"/>
  <c r="R144" i="14"/>
  <c r="X144" i="14"/>
  <c r="Z144" i="14"/>
  <c r="R145" i="14"/>
  <c r="X145" i="14"/>
  <c r="Z145" i="14"/>
  <c r="R146" i="14"/>
  <c r="X146" i="14"/>
  <c r="Z146" i="14"/>
  <c r="R147" i="14"/>
  <c r="X147" i="14"/>
  <c r="Z147" i="14"/>
  <c r="Y147" i="14"/>
  <c r="R149" i="14"/>
  <c r="X149" i="14"/>
  <c r="Z149" i="14"/>
  <c r="Y149" i="14"/>
  <c r="R150" i="14"/>
  <c r="X150" i="14"/>
  <c r="Z150" i="14"/>
  <c r="R148" i="14"/>
  <c r="X148" i="14"/>
  <c r="Z148" i="14"/>
  <c r="Y148" i="14"/>
  <c r="R151" i="14"/>
  <c r="X151" i="14"/>
  <c r="Z151" i="14"/>
  <c r="R152" i="14"/>
  <c r="X152" i="14"/>
  <c r="Z152" i="14"/>
  <c r="R153" i="14"/>
  <c r="X153" i="14"/>
  <c r="Z153" i="14"/>
  <c r="Y153" i="14"/>
  <c r="R154" i="14"/>
  <c r="X154" i="14"/>
  <c r="Z154" i="14"/>
  <c r="Y154" i="14"/>
  <c r="R155" i="14"/>
  <c r="X155" i="14"/>
  <c r="Z155" i="14"/>
  <c r="R156" i="14"/>
  <c r="X156" i="14"/>
  <c r="Z156" i="14"/>
  <c r="R158" i="14"/>
  <c r="X158" i="14"/>
  <c r="Z158" i="14"/>
  <c r="R157" i="14"/>
  <c r="X157" i="14"/>
  <c r="Z157" i="14"/>
  <c r="R160" i="14"/>
  <c r="X160" i="14"/>
  <c r="Z160" i="14"/>
  <c r="Y160" i="14"/>
  <c r="R159" i="14"/>
  <c r="X159" i="14"/>
  <c r="Z159" i="14"/>
  <c r="Y159" i="14"/>
  <c r="R161" i="14"/>
  <c r="X161" i="14"/>
  <c r="Z161" i="14"/>
  <c r="R162" i="14"/>
  <c r="X162" i="14"/>
  <c r="Z162" i="14"/>
  <c r="R164" i="14"/>
  <c r="X164" i="14"/>
  <c r="Z164" i="14"/>
  <c r="R163" i="14"/>
  <c r="X163" i="14"/>
  <c r="Z163" i="14"/>
  <c r="X171" i="14"/>
  <c r="X170" i="14"/>
  <c r="X169" i="14"/>
  <c r="X165" i="14"/>
  <c r="X166" i="14"/>
  <c r="X172" i="14"/>
  <c r="X173" i="14"/>
  <c r="X167" i="14"/>
  <c r="X168" i="14"/>
  <c r="R134" i="14"/>
  <c r="X134" i="14"/>
  <c r="Z134" i="14"/>
  <c r="R135" i="14"/>
  <c r="X135" i="14"/>
  <c r="Z135" i="14"/>
  <c r="Y135" i="14"/>
  <c r="R136" i="14"/>
  <c r="X136" i="14"/>
  <c r="Z136" i="14"/>
  <c r="Y136" i="14"/>
  <c r="R137" i="14"/>
  <c r="X137" i="14"/>
  <c r="Z137" i="14"/>
  <c r="X141" i="14"/>
  <c r="X139" i="14"/>
  <c r="X138" i="14"/>
  <c r="X140" i="14"/>
  <c r="X142" i="14"/>
  <c r="X87" i="14"/>
  <c r="Z87" i="14"/>
  <c r="X86" i="14"/>
  <c r="Z86" i="14"/>
  <c r="X174" i="14"/>
  <c r="Z174" i="14"/>
  <c r="X84" i="14"/>
  <c r="Z84" i="14"/>
  <c r="X85" i="14"/>
  <c r="Z85" i="14"/>
  <c r="X83" i="14"/>
  <c r="Z83" i="14"/>
  <c r="X82" i="14"/>
  <c r="Z82" i="14"/>
  <c r="X80" i="14"/>
  <c r="Z80" i="14"/>
  <c r="X81" i="14"/>
  <c r="Z81" i="14"/>
  <c r="X79" i="14"/>
  <c r="Z79" i="14"/>
  <c r="X78" i="14"/>
  <c r="Z78" i="14"/>
  <c r="X76" i="14"/>
  <c r="Z76" i="14"/>
  <c r="X77" i="14"/>
  <c r="Z77" i="14"/>
  <c r="X75" i="14"/>
  <c r="Z75" i="14"/>
  <c r="X74" i="14"/>
  <c r="Z74" i="14"/>
  <c r="X72" i="14"/>
  <c r="Z72" i="14"/>
  <c r="X73" i="14"/>
  <c r="Z73" i="14"/>
  <c r="X70" i="14"/>
  <c r="Z70" i="14"/>
  <c r="X69" i="14"/>
  <c r="Z69" i="14"/>
  <c r="X71" i="14"/>
  <c r="Z71" i="14"/>
  <c r="X67" i="14"/>
  <c r="Z67" i="14"/>
  <c r="X68" i="14"/>
  <c r="Z68" i="14"/>
  <c r="X66" i="14"/>
  <c r="Z66" i="14"/>
  <c r="X65" i="14"/>
  <c r="Z65" i="14"/>
  <c r="X64" i="14"/>
  <c r="Z64" i="14"/>
  <c r="X63" i="14"/>
  <c r="Z63" i="14"/>
  <c r="X95" i="14"/>
  <c r="Z95" i="14"/>
  <c r="X61" i="14"/>
  <c r="Z61" i="14"/>
  <c r="X62" i="14"/>
  <c r="Z62" i="14"/>
  <c r="X60" i="14"/>
  <c r="Z60" i="14"/>
  <c r="X59" i="14"/>
  <c r="Z59" i="14"/>
  <c r="X58" i="14"/>
  <c r="Z58" i="14"/>
  <c r="X57" i="14"/>
  <c r="Z57" i="14"/>
  <c r="X128" i="14"/>
  <c r="Z128" i="14"/>
  <c r="X56" i="14"/>
  <c r="Z56" i="14"/>
  <c r="X55" i="14"/>
  <c r="Z55" i="14"/>
  <c r="X54" i="14"/>
  <c r="Z54" i="14"/>
  <c r="X52" i="14"/>
  <c r="Z52" i="14"/>
  <c r="X53" i="14"/>
  <c r="Z53" i="14"/>
  <c r="X51" i="14"/>
  <c r="Z51" i="14"/>
  <c r="X49" i="14"/>
  <c r="Z49" i="14"/>
  <c r="X50" i="14"/>
  <c r="Z50" i="14"/>
  <c r="X48" i="14"/>
  <c r="Z48" i="14"/>
  <c r="X47" i="14"/>
  <c r="Z47" i="14"/>
  <c r="X46" i="14"/>
  <c r="Z46" i="14"/>
  <c r="X126" i="14"/>
  <c r="Z126" i="14"/>
  <c r="X45" i="14"/>
  <c r="Z45" i="14"/>
  <c r="X43" i="14"/>
  <c r="Z43" i="14"/>
  <c r="X44" i="14"/>
  <c r="Z44" i="14"/>
  <c r="X42" i="14"/>
  <c r="Z42" i="14"/>
  <c r="X41" i="14"/>
  <c r="Z41" i="14"/>
  <c r="X40" i="14"/>
  <c r="Z40" i="14"/>
  <c r="X38" i="14"/>
  <c r="Z38" i="14"/>
  <c r="X39" i="14"/>
  <c r="Z39" i="14"/>
  <c r="X125" i="14"/>
  <c r="Z125" i="14"/>
  <c r="X37" i="14"/>
  <c r="Z37" i="14"/>
  <c r="X124" i="14"/>
  <c r="Z124" i="14"/>
  <c r="X10" i="14"/>
  <c r="Z10" i="14"/>
  <c r="X123" i="14"/>
  <c r="Z123" i="14"/>
  <c r="X122" i="14"/>
  <c r="Z122" i="14"/>
  <c r="X93" i="14"/>
  <c r="Z93" i="14"/>
  <c r="X120" i="14"/>
  <c r="Z120" i="14"/>
  <c r="X36" i="14"/>
  <c r="Z36" i="14"/>
  <c r="X35" i="14"/>
  <c r="Z35" i="14"/>
  <c r="X119" i="14"/>
  <c r="Z119" i="14"/>
  <c r="X118" i="14"/>
  <c r="Z118" i="14"/>
  <c r="X117" i="14"/>
  <c r="Z117" i="14"/>
  <c r="X34" i="14"/>
  <c r="Z34" i="14"/>
  <c r="X116" i="14"/>
  <c r="Z116" i="14"/>
  <c r="X115" i="14"/>
  <c r="Z115" i="14"/>
  <c r="X114" i="14"/>
  <c r="Z114" i="14"/>
  <c r="X113" i="14"/>
  <c r="Z113" i="14"/>
  <c r="X33" i="14"/>
  <c r="Z33" i="14"/>
  <c r="X32" i="14"/>
  <c r="Z32" i="14"/>
  <c r="X112" i="14"/>
  <c r="Z112" i="14"/>
  <c r="X111" i="14"/>
  <c r="Z111" i="14"/>
  <c r="X109" i="14"/>
  <c r="Z109" i="14"/>
  <c r="X108" i="14"/>
  <c r="Z108" i="14"/>
  <c r="X181" i="14"/>
  <c r="Z181" i="14"/>
  <c r="X107" i="14"/>
  <c r="Z107" i="14"/>
  <c r="X177" i="14"/>
  <c r="Z177" i="14"/>
  <c r="X176" i="14"/>
  <c r="Z176" i="14"/>
  <c r="X175" i="14"/>
  <c r="Z175" i="14"/>
  <c r="X105" i="14"/>
  <c r="Z105" i="14"/>
  <c r="X178" i="14"/>
  <c r="Z178" i="14"/>
  <c r="X3" i="14"/>
  <c r="Z3" i="14"/>
  <c r="X104" i="14"/>
  <c r="Z104" i="14"/>
  <c r="X179" i="14"/>
  <c r="Z179" i="14"/>
  <c r="X180" i="14"/>
  <c r="Z180" i="14"/>
  <c r="X103" i="14"/>
  <c r="Z103" i="14"/>
  <c r="X102" i="14"/>
  <c r="Z102" i="14"/>
  <c r="X182" i="14"/>
  <c r="Z182" i="14"/>
  <c r="X183" i="14"/>
  <c r="Z183" i="14"/>
  <c r="X101" i="14"/>
  <c r="Z101" i="14"/>
  <c r="X89" i="14"/>
  <c r="Z89" i="14"/>
  <c r="X88" i="14"/>
  <c r="Z88" i="14"/>
  <c r="AG201" i="13"/>
  <c r="AG200" i="13"/>
  <c r="AF201" i="13"/>
  <c r="AF200" i="13"/>
  <c r="AE201" i="13"/>
  <c r="AE200" i="13"/>
  <c r="AD201" i="13"/>
  <c r="AD200" i="13"/>
  <c r="AC201" i="13"/>
  <c r="AC200" i="13"/>
  <c r="AB201" i="13"/>
  <c r="AB200" i="13"/>
  <c r="AB210" i="13"/>
  <c r="AC210" i="13"/>
  <c r="AG210" i="13"/>
  <c r="AG209" i="13"/>
  <c r="AF209" i="13"/>
  <c r="AE209" i="13"/>
  <c r="AD209" i="13"/>
  <c r="AC209" i="13"/>
  <c r="AB209" i="13"/>
  <c r="AG208" i="13"/>
  <c r="AF208" i="13"/>
  <c r="AE208" i="13"/>
  <c r="AD208" i="13"/>
  <c r="AC208" i="13"/>
  <c r="AB208" i="13"/>
  <c r="AG207" i="13"/>
  <c r="AC207" i="13"/>
  <c r="AB207" i="13"/>
  <c r="AA210" i="13"/>
  <c r="AA209" i="13"/>
  <c r="AA208" i="13"/>
  <c r="AA207" i="13"/>
  <c r="AG151" i="13"/>
  <c r="AG150" i="13"/>
  <c r="AF151" i="13"/>
  <c r="AF150" i="13"/>
  <c r="AE151" i="13"/>
  <c r="AE150" i="13"/>
  <c r="AD151" i="13"/>
  <c r="AD150" i="13"/>
  <c r="AC151" i="13"/>
  <c r="AC150" i="13"/>
  <c r="AB151" i="13"/>
  <c r="AB150" i="13"/>
  <c r="AG147" i="13"/>
  <c r="AF147" i="13"/>
  <c r="AE147" i="13"/>
  <c r="AD147" i="13"/>
  <c r="AC147" i="13"/>
  <c r="AB147" i="13"/>
  <c r="Y140" i="13"/>
  <c r="Y141" i="13"/>
  <c r="AG110" i="13"/>
  <c r="Y110" i="13"/>
  <c r="Y111" i="13"/>
  <c r="AG109" i="13"/>
  <c r="AF110" i="13"/>
  <c r="AF109" i="13"/>
  <c r="AE110" i="13"/>
  <c r="AE109" i="13"/>
  <c r="AD110" i="13"/>
  <c r="AD109" i="13"/>
  <c r="AC110" i="13"/>
  <c r="AC109" i="13"/>
  <c r="AB110" i="13"/>
  <c r="AB109" i="13"/>
  <c r="AG52" i="13"/>
  <c r="AG51" i="13"/>
  <c r="AF52" i="13"/>
  <c r="AF51" i="13"/>
  <c r="AE52" i="13"/>
  <c r="AE51" i="13"/>
  <c r="AD52" i="13"/>
  <c r="AD51" i="13"/>
  <c r="AC52" i="13"/>
  <c r="AC51" i="13"/>
  <c r="AB52" i="13"/>
  <c r="AB51" i="13"/>
  <c r="AG39" i="13"/>
  <c r="AG38" i="13"/>
  <c r="AF39" i="13"/>
  <c r="AF38" i="13"/>
  <c r="AE39" i="13"/>
  <c r="AE38" i="13"/>
  <c r="AD39" i="13"/>
  <c r="AD38" i="13"/>
  <c r="AC39" i="13"/>
  <c r="AC38" i="13"/>
  <c r="AB39" i="13"/>
  <c r="AB38" i="13"/>
  <c r="AG4" i="13"/>
  <c r="Y3" i="13"/>
  <c r="Y13" i="13"/>
  <c r="AG3" i="13"/>
  <c r="AF4" i="13"/>
  <c r="AF3" i="13"/>
  <c r="AE4" i="13"/>
  <c r="AE3" i="13"/>
  <c r="AD4" i="13"/>
  <c r="AD3" i="13"/>
  <c r="AC4" i="13"/>
  <c r="AC3" i="13"/>
  <c r="AB4" i="13"/>
  <c r="AB3" i="13"/>
  <c r="AG205" i="12"/>
  <c r="AG204" i="12"/>
  <c r="AG203" i="12"/>
  <c r="AF204" i="12"/>
  <c r="AF203" i="12"/>
  <c r="AE204" i="12"/>
  <c r="AE203" i="12"/>
  <c r="AD204" i="12"/>
  <c r="AD203" i="12"/>
  <c r="AC202" i="12"/>
  <c r="AC204" i="12"/>
  <c r="AC203" i="12"/>
  <c r="AG202" i="12"/>
  <c r="AC205" i="12"/>
  <c r="AB205" i="12"/>
  <c r="AB204" i="12"/>
  <c r="AB203" i="12"/>
  <c r="AB202" i="12"/>
  <c r="AA205" i="12"/>
  <c r="AA204" i="12"/>
  <c r="AA203" i="12"/>
  <c r="AA202" i="12"/>
  <c r="Y201" i="12"/>
  <c r="AG196" i="12"/>
  <c r="AG195" i="12"/>
  <c r="AF196" i="12"/>
  <c r="AF195" i="12"/>
  <c r="AE196" i="12"/>
  <c r="AE195" i="12"/>
  <c r="AD196" i="12"/>
  <c r="AD195" i="12"/>
  <c r="AC196" i="12"/>
  <c r="AC195" i="12"/>
  <c r="AB196" i="12"/>
  <c r="AB195" i="12"/>
  <c r="Y161" i="12"/>
  <c r="Y171" i="12"/>
  <c r="Y176" i="12"/>
  <c r="Y177" i="12"/>
  <c r="AG153" i="12"/>
  <c r="Y156" i="12"/>
  <c r="Y158" i="12"/>
  <c r="Y159" i="12"/>
  <c r="AG152" i="12"/>
  <c r="AF153" i="12"/>
  <c r="AF152" i="12"/>
  <c r="AE153" i="12"/>
  <c r="AE152" i="12"/>
  <c r="AD153" i="12"/>
  <c r="AD152" i="12"/>
  <c r="AC153" i="12"/>
  <c r="AC152" i="12"/>
  <c r="AB153" i="12"/>
  <c r="AB152" i="12"/>
  <c r="Y150" i="12"/>
  <c r="AG149" i="12"/>
  <c r="AF149" i="12"/>
  <c r="AD149" i="12"/>
  <c r="AE149" i="12"/>
  <c r="AC149" i="12"/>
  <c r="AB149" i="12"/>
  <c r="Y133" i="12"/>
  <c r="Y136" i="12"/>
  <c r="AG111" i="12"/>
  <c r="Y132" i="12"/>
  <c r="Y134" i="12"/>
  <c r="AG110" i="12"/>
  <c r="AF111" i="12"/>
  <c r="AF110" i="12"/>
  <c r="AE111" i="12"/>
  <c r="AE110" i="12"/>
  <c r="AD111" i="12"/>
  <c r="AD110" i="12"/>
  <c r="AC111" i="12"/>
  <c r="AC110" i="12"/>
  <c r="AB111" i="12"/>
  <c r="AB110" i="12"/>
  <c r="AG52" i="12"/>
  <c r="AG51" i="12"/>
  <c r="AF52" i="12"/>
  <c r="AF51" i="12"/>
  <c r="AE52" i="12"/>
  <c r="AE51" i="12"/>
  <c r="AD52" i="12"/>
  <c r="AD51" i="12"/>
  <c r="AC52" i="12"/>
  <c r="AC51" i="12"/>
  <c r="AB52" i="12"/>
  <c r="AB51" i="12"/>
  <c r="AG39" i="12"/>
  <c r="AG38" i="12"/>
  <c r="AF39" i="12"/>
  <c r="AF38" i="12"/>
  <c r="AE39" i="12"/>
  <c r="AE38" i="12"/>
  <c r="AD39" i="12"/>
  <c r="AD38" i="12"/>
  <c r="AC39" i="12"/>
  <c r="AC38" i="12"/>
  <c r="AB39" i="12"/>
  <c r="AB38" i="12"/>
  <c r="AG4" i="12"/>
  <c r="Y13" i="12"/>
  <c r="AG3" i="12"/>
  <c r="AF4" i="12"/>
  <c r="AF3" i="12"/>
  <c r="AE4" i="12"/>
  <c r="AE3" i="12"/>
  <c r="AD4" i="12"/>
  <c r="AD3" i="12"/>
  <c r="AC4" i="12"/>
  <c r="AC3" i="12"/>
  <c r="AB4" i="12"/>
  <c r="AB3" i="12"/>
  <c r="R198" i="13"/>
  <c r="X198" i="13"/>
  <c r="Z198" i="13"/>
  <c r="X36" i="13"/>
  <c r="Z36" i="13"/>
  <c r="R197" i="13"/>
  <c r="X197" i="13"/>
  <c r="Z197" i="13"/>
  <c r="R196" i="13"/>
  <c r="X196" i="13"/>
  <c r="Z196" i="13"/>
  <c r="R195" i="13"/>
  <c r="X195" i="13"/>
  <c r="Z195" i="13"/>
  <c r="Y195" i="13"/>
  <c r="R194" i="13"/>
  <c r="X194" i="13"/>
  <c r="Z194" i="13"/>
  <c r="Y194" i="13"/>
  <c r="X35" i="13"/>
  <c r="Z35" i="13"/>
  <c r="X34" i="13"/>
  <c r="Z34" i="13"/>
  <c r="R193" i="13"/>
  <c r="X193" i="13"/>
  <c r="Z193" i="13"/>
  <c r="Y193" i="13"/>
  <c r="R192" i="13"/>
  <c r="X192" i="13"/>
  <c r="Z192" i="13"/>
  <c r="Y192" i="13"/>
  <c r="R191" i="13"/>
  <c r="X191" i="13"/>
  <c r="Z191" i="13"/>
  <c r="Y191" i="13"/>
  <c r="R190" i="13"/>
  <c r="X190" i="13"/>
  <c r="Z190" i="13"/>
  <c r="X145" i="13"/>
  <c r="Z145" i="13"/>
  <c r="R189" i="13"/>
  <c r="X189" i="13"/>
  <c r="Z189" i="13"/>
  <c r="R188" i="13"/>
  <c r="X188" i="13"/>
  <c r="Z188" i="13"/>
  <c r="X33" i="13"/>
  <c r="Z33" i="13"/>
  <c r="X32" i="13"/>
  <c r="Z32" i="13"/>
  <c r="X31" i="13"/>
  <c r="Z31" i="13"/>
  <c r="R187" i="13"/>
  <c r="X187" i="13"/>
  <c r="Z187" i="13"/>
  <c r="Y187" i="13"/>
  <c r="R186" i="13"/>
  <c r="X186" i="13"/>
  <c r="Z186" i="13"/>
  <c r="Y186" i="13"/>
  <c r="R185" i="13"/>
  <c r="X185" i="13"/>
  <c r="Z185" i="13"/>
  <c r="Y185" i="13"/>
  <c r="R184" i="13"/>
  <c r="X184" i="13"/>
  <c r="Z184" i="13"/>
  <c r="X30" i="13"/>
  <c r="Z30" i="13"/>
  <c r="X29" i="13"/>
  <c r="Z29" i="13"/>
  <c r="R183" i="13"/>
  <c r="X183" i="13"/>
  <c r="Z183" i="13"/>
  <c r="X28" i="13"/>
  <c r="Z28" i="13"/>
  <c r="X49" i="13"/>
  <c r="Z49" i="13"/>
  <c r="R213" i="13"/>
  <c r="X213" i="13"/>
  <c r="Z213" i="13"/>
  <c r="Y213" i="13"/>
  <c r="R182" i="13"/>
  <c r="X182" i="13"/>
  <c r="Z182" i="13"/>
  <c r="R181" i="13"/>
  <c r="X181" i="13"/>
  <c r="Z181" i="13"/>
  <c r="X27" i="13"/>
  <c r="Z27" i="13"/>
  <c r="X26" i="13"/>
  <c r="Z26" i="13"/>
  <c r="X206" i="13"/>
  <c r="Z206" i="13"/>
  <c r="Y206" i="13"/>
  <c r="W206" i="13"/>
  <c r="R180" i="13"/>
  <c r="X180" i="13"/>
  <c r="Z180" i="13"/>
  <c r="X25" i="13"/>
  <c r="Z25" i="13"/>
  <c r="X24" i="13"/>
  <c r="Z24" i="13"/>
  <c r="X23" i="13"/>
  <c r="Z23" i="13"/>
  <c r="X48" i="13"/>
  <c r="Z48" i="13"/>
  <c r="X22" i="13"/>
  <c r="Z22" i="13"/>
  <c r="X21" i="13"/>
  <c r="Z21" i="13"/>
  <c r="X144" i="13"/>
  <c r="Z144" i="13"/>
  <c r="R179" i="13"/>
  <c r="X179" i="13"/>
  <c r="Z179" i="13"/>
  <c r="Y179" i="13"/>
  <c r="R178" i="13"/>
  <c r="X178" i="13"/>
  <c r="Z178" i="13"/>
  <c r="Y178" i="13"/>
  <c r="X47" i="13"/>
  <c r="Z47" i="13"/>
  <c r="X143" i="13"/>
  <c r="Z143" i="13"/>
  <c r="X20" i="13"/>
  <c r="Z20" i="13"/>
  <c r="X142" i="13"/>
  <c r="Z142" i="13"/>
  <c r="X107" i="13"/>
  <c r="Z107" i="13"/>
  <c r="X19" i="13"/>
  <c r="Z19" i="13"/>
  <c r="X46" i="13"/>
  <c r="Z46" i="13"/>
  <c r="X106" i="13"/>
  <c r="Z106" i="13"/>
  <c r="R177" i="13"/>
  <c r="X177" i="13"/>
  <c r="Z177" i="13"/>
  <c r="X18" i="13"/>
  <c r="Z18" i="13"/>
  <c r="X45" i="13"/>
  <c r="Z45" i="13"/>
  <c r="X205" i="13"/>
  <c r="Z205" i="13"/>
  <c r="X105" i="13"/>
  <c r="Z105" i="13"/>
  <c r="X104" i="13"/>
  <c r="Z104" i="13"/>
  <c r="X103" i="13"/>
  <c r="Z103" i="13"/>
  <c r="X102" i="13"/>
  <c r="Z102" i="13"/>
  <c r="X101" i="13"/>
  <c r="Z101" i="13"/>
  <c r="X100" i="13"/>
  <c r="Z100" i="13"/>
  <c r="X99" i="13"/>
  <c r="Z99" i="13"/>
  <c r="X98" i="13"/>
  <c r="Z98" i="13"/>
  <c r="R141" i="13"/>
  <c r="X141" i="13"/>
  <c r="Z141" i="13"/>
  <c r="X97" i="13"/>
  <c r="Z97" i="13"/>
  <c r="X96" i="13"/>
  <c r="Z96" i="13"/>
  <c r="X95" i="13"/>
  <c r="Z95" i="13"/>
  <c r="X94" i="13"/>
  <c r="Z94" i="13"/>
  <c r="X93" i="13"/>
  <c r="Z93" i="13"/>
  <c r="X92" i="13"/>
  <c r="Z92" i="13"/>
  <c r="X91" i="13"/>
  <c r="Z91" i="13"/>
  <c r="X90" i="13"/>
  <c r="Z90" i="13"/>
  <c r="X89" i="13"/>
  <c r="Z89" i="13"/>
  <c r="X88" i="13"/>
  <c r="Z88" i="13"/>
  <c r="X87" i="13"/>
  <c r="Z87" i="13"/>
  <c r="X86" i="13"/>
  <c r="Z86" i="13"/>
  <c r="R176" i="13"/>
  <c r="X176" i="13"/>
  <c r="Z176" i="13"/>
  <c r="X17" i="13"/>
  <c r="Z17" i="13"/>
  <c r="R140" i="13"/>
  <c r="X140" i="13"/>
  <c r="Z140" i="13"/>
  <c r="X139" i="13"/>
  <c r="Z139" i="13"/>
  <c r="X85" i="13"/>
  <c r="Z85" i="13"/>
  <c r="X84" i="13"/>
  <c r="Z84" i="13"/>
  <c r="X44" i="13"/>
  <c r="Z44" i="13"/>
  <c r="X83" i="13"/>
  <c r="Z83" i="13"/>
  <c r="X82" i="13"/>
  <c r="Z82" i="13"/>
  <c r="X81" i="13"/>
  <c r="Z81" i="13"/>
  <c r="X80" i="13"/>
  <c r="Z80" i="13"/>
  <c r="X79" i="13"/>
  <c r="Z79" i="13"/>
  <c r="X78" i="13"/>
  <c r="Z78" i="13"/>
  <c r="X138" i="13"/>
  <c r="Z138" i="13"/>
  <c r="R175" i="13"/>
  <c r="X175" i="13"/>
  <c r="Z175" i="13"/>
  <c r="X16" i="13"/>
  <c r="Z16" i="13"/>
  <c r="R174" i="13"/>
  <c r="X174" i="13"/>
  <c r="Z174" i="13"/>
  <c r="X15" i="13"/>
  <c r="Z15" i="13"/>
  <c r="X77" i="13"/>
  <c r="Z77" i="13"/>
  <c r="X76" i="13"/>
  <c r="Z76" i="13"/>
  <c r="X75" i="13"/>
  <c r="Z75" i="13"/>
  <c r="X74" i="13"/>
  <c r="Z74" i="13"/>
  <c r="X73" i="13"/>
  <c r="Z73" i="13"/>
  <c r="X72" i="13"/>
  <c r="Z72" i="13"/>
  <c r="X137" i="13"/>
  <c r="Z137" i="13"/>
  <c r="X71" i="13"/>
  <c r="Z71" i="13"/>
  <c r="X70" i="13"/>
  <c r="Z70" i="13"/>
  <c r="X69" i="13"/>
  <c r="Z69" i="13"/>
  <c r="X68" i="13"/>
  <c r="Z68" i="13"/>
  <c r="X67" i="13"/>
  <c r="Z67" i="13"/>
  <c r="X66" i="13"/>
  <c r="Z66" i="13"/>
  <c r="X136" i="13"/>
  <c r="Z136" i="13"/>
  <c r="X43" i="13"/>
  <c r="Z43" i="13"/>
  <c r="R162" i="13"/>
  <c r="X162" i="13"/>
  <c r="Z162" i="13"/>
  <c r="X14" i="13"/>
  <c r="Z14" i="13"/>
  <c r="R161" i="13"/>
  <c r="X161" i="13"/>
  <c r="Z161" i="13"/>
  <c r="Y161" i="13"/>
  <c r="X13" i="13"/>
  <c r="Z13" i="13"/>
  <c r="V13" i="13"/>
  <c r="X64" i="13"/>
  <c r="Z64" i="13"/>
  <c r="X65" i="13"/>
  <c r="Z65" i="13"/>
  <c r="X63" i="13"/>
  <c r="Z63" i="13"/>
  <c r="X62" i="13"/>
  <c r="Z62" i="13"/>
  <c r="X61" i="13"/>
  <c r="Z61" i="13"/>
  <c r="X60" i="13"/>
  <c r="Z60" i="13"/>
  <c r="X59" i="13"/>
  <c r="Z59" i="13"/>
  <c r="X58" i="13"/>
  <c r="Z58" i="13"/>
  <c r="X57" i="13"/>
  <c r="Z57" i="13"/>
  <c r="X135" i="13"/>
  <c r="Z135" i="13"/>
  <c r="X56" i="13"/>
  <c r="Z56" i="13"/>
  <c r="X134" i="13"/>
  <c r="Z134" i="13"/>
  <c r="X12" i="13"/>
  <c r="Z12" i="13"/>
  <c r="X133" i="13"/>
  <c r="Z133" i="13"/>
  <c r="R160" i="13"/>
  <c r="X160" i="13"/>
  <c r="Z160" i="13"/>
  <c r="Y160" i="13"/>
  <c r="X132" i="13"/>
  <c r="Z132" i="13"/>
  <c r="X131" i="13"/>
  <c r="Z131" i="13"/>
  <c r="X42" i="13"/>
  <c r="Z42" i="13"/>
  <c r="X130" i="13"/>
  <c r="Z130" i="13"/>
  <c r="X129" i="13"/>
  <c r="Z129" i="13"/>
  <c r="X55" i="13"/>
  <c r="Z55" i="13"/>
  <c r="X54" i="13"/>
  <c r="Z54" i="13"/>
  <c r="X128" i="13"/>
  <c r="Z128" i="13"/>
  <c r="X127" i="13"/>
  <c r="Z127" i="13"/>
  <c r="X126" i="13"/>
  <c r="Z126" i="13"/>
  <c r="X53" i="13"/>
  <c r="Z53" i="13"/>
  <c r="X125" i="13"/>
  <c r="Z125" i="13"/>
  <c r="X124" i="13"/>
  <c r="Z124" i="13"/>
  <c r="X123" i="13"/>
  <c r="Z123" i="13"/>
  <c r="X52" i="13"/>
  <c r="Z52" i="13"/>
  <c r="X122" i="13"/>
  <c r="Z122" i="13"/>
  <c r="X51" i="13"/>
  <c r="Z51" i="13"/>
  <c r="X121" i="13"/>
  <c r="Z121" i="13"/>
  <c r="X120" i="13"/>
  <c r="Z120" i="13"/>
  <c r="X119" i="13"/>
  <c r="Z119" i="13"/>
  <c r="X118" i="13"/>
  <c r="Z118" i="13"/>
  <c r="X41" i="13"/>
  <c r="Z41" i="13"/>
  <c r="X11" i="13"/>
  <c r="Z11" i="13"/>
  <c r="X50" i="13"/>
  <c r="Z50" i="13"/>
  <c r="X117" i="13"/>
  <c r="Z117" i="13"/>
  <c r="X10" i="13"/>
  <c r="Z10" i="13"/>
  <c r="X207" i="13"/>
  <c r="Z207" i="13"/>
  <c r="X9" i="13"/>
  <c r="Z9" i="13"/>
  <c r="X8" i="13"/>
  <c r="Z8" i="13"/>
  <c r="X116" i="13"/>
  <c r="Z116" i="13"/>
  <c r="R159" i="13"/>
  <c r="X159" i="13"/>
  <c r="Z159" i="13"/>
  <c r="X7" i="13"/>
  <c r="Z7" i="13"/>
  <c r="X204" i="13"/>
  <c r="Z204" i="13"/>
  <c r="X203" i="13"/>
  <c r="Z203" i="13"/>
  <c r="X202" i="13"/>
  <c r="Z202" i="13"/>
  <c r="X115" i="13"/>
  <c r="Z115" i="13"/>
  <c r="X40" i="13"/>
  <c r="Z40" i="13"/>
  <c r="X114" i="13"/>
  <c r="Z114" i="13"/>
  <c r="X6" i="13"/>
  <c r="Z6" i="13"/>
  <c r="X5" i="13"/>
  <c r="Z5" i="13"/>
  <c r="X201" i="13"/>
  <c r="Z201" i="13"/>
  <c r="X39" i="13"/>
  <c r="Z39" i="13"/>
  <c r="X113" i="13"/>
  <c r="Z113" i="13"/>
  <c r="X200" i="13"/>
  <c r="Z200" i="13"/>
  <c r="R111" i="13"/>
  <c r="X111" i="13"/>
  <c r="Z111" i="13"/>
  <c r="X112" i="13"/>
  <c r="Z112" i="13"/>
  <c r="X199" i="13"/>
  <c r="Z199" i="13"/>
  <c r="X4" i="13"/>
  <c r="Z4" i="13"/>
  <c r="R212" i="13"/>
  <c r="X212" i="13"/>
  <c r="Z212" i="13"/>
  <c r="Y212" i="13"/>
  <c r="R110" i="13"/>
  <c r="X110" i="13"/>
  <c r="Z110" i="13"/>
  <c r="X109" i="13"/>
  <c r="Z109" i="13"/>
  <c r="Y173" i="13"/>
  <c r="X173" i="13"/>
  <c r="X172" i="13"/>
  <c r="X171" i="13"/>
  <c r="X170" i="13"/>
  <c r="X169" i="13"/>
  <c r="X168" i="13"/>
  <c r="X167" i="13"/>
  <c r="X166" i="13"/>
  <c r="X165" i="13"/>
  <c r="X164" i="13"/>
  <c r="X163" i="13"/>
  <c r="Y158" i="13"/>
  <c r="X158" i="13"/>
  <c r="X157" i="13"/>
  <c r="X156" i="13"/>
  <c r="X155" i="13"/>
  <c r="X154" i="13"/>
  <c r="X153" i="13"/>
  <c r="X3" i="13"/>
  <c r="V3" i="13"/>
  <c r="Y148" i="13"/>
  <c r="X148" i="13"/>
  <c r="V148" i="13"/>
  <c r="X209" i="13"/>
  <c r="Z209" i="13"/>
  <c r="X2" i="13"/>
  <c r="Z2" i="13"/>
  <c r="X208" i="13"/>
  <c r="Z208" i="13"/>
  <c r="X147" i="13"/>
  <c r="Z147" i="13"/>
  <c r="X146" i="13"/>
  <c r="Z146" i="13"/>
  <c r="X152" i="13"/>
  <c r="Z152" i="13"/>
  <c r="X38" i="13"/>
  <c r="Z38" i="13"/>
  <c r="X151" i="13"/>
  <c r="Z151" i="13"/>
  <c r="X150" i="13"/>
  <c r="Z150" i="13"/>
  <c r="X37" i="13"/>
  <c r="Z37" i="13"/>
  <c r="X149" i="13"/>
  <c r="Z149" i="13"/>
  <c r="X108" i="13"/>
  <c r="Z108" i="13"/>
  <c r="X211" i="13"/>
  <c r="Z211" i="13"/>
  <c r="X210" i="13"/>
  <c r="Z210" i="13"/>
  <c r="Y235" i="2"/>
  <c r="Y336" i="2"/>
  <c r="Y351" i="2"/>
  <c r="Y372" i="2"/>
  <c r="Y373" i="2"/>
  <c r="Y382" i="2"/>
  <c r="Y387" i="2"/>
  <c r="AG206" i="2"/>
  <c r="Y217" i="2"/>
  <c r="Y218" i="2"/>
  <c r="Y224" i="2"/>
  <c r="Y237" i="2"/>
  <c r="Y238" i="2"/>
  <c r="Y242" i="2"/>
  <c r="Y287" i="2"/>
  <c r="Y302" i="2"/>
  <c r="Y303" i="2"/>
  <c r="AG205" i="2"/>
  <c r="AF206" i="2"/>
  <c r="AF205" i="2"/>
  <c r="AE206" i="2"/>
  <c r="AE205" i="2"/>
  <c r="AD206" i="2"/>
  <c r="AD205" i="2"/>
  <c r="AC206" i="2"/>
  <c r="AC205" i="2"/>
  <c r="AB206" i="2"/>
  <c r="AB205" i="2"/>
  <c r="Y238" i="3"/>
  <c r="Y239" i="3"/>
  <c r="Y222" i="3"/>
  <c r="Y223" i="3"/>
  <c r="AG296" i="3"/>
  <c r="AF296" i="3"/>
  <c r="AE296" i="3"/>
  <c r="AD296" i="3"/>
  <c r="AC296" i="3"/>
  <c r="AB296" i="3"/>
  <c r="AG287" i="3"/>
  <c r="AF287" i="3"/>
  <c r="AE287" i="3"/>
  <c r="AD287" i="3"/>
  <c r="AC287" i="3"/>
  <c r="AB287" i="3"/>
  <c r="AG259" i="3"/>
  <c r="AF259" i="3"/>
  <c r="AE259" i="3"/>
  <c r="AD259" i="3"/>
  <c r="AC259" i="3"/>
  <c r="AB259" i="3"/>
  <c r="AG219" i="3"/>
  <c r="AF219" i="3"/>
  <c r="AE219" i="3"/>
  <c r="AD219" i="3"/>
  <c r="AC219" i="3"/>
  <c r="AB219" i="3"/>
  <c r="X365" i="2"/>
  <c r="Z365" i="2"/>
  <c r="X306" i="2"/>
  <c r="Z306" i="2"/>
  <c r="X371" i="2"/>
  <c r="Z371" i="2"/>
  <c r="X377" i="2"/>
  <c r="Z377" i="2"/>
  <c r="X361" i="2"/>
  <c r="Z361" i="2"/>
  <c r="X388" i="2"/>
  <c r="Z388" i="2"/>
  <c r="X250" i="2"/>
  <c r="Z250" i="2"/>
  <c r="X245" i="2"/>
  <c r="Z245" i="2"/>
  <c r="X265" i="2"/>
  <c r="Z265" i="2"/>
  <c r="X335" i="2"/>
  <c r="Z335" i="2"/>
  <c r="X314" i="2"/>
  <c r="Z314" i="2"/>
  <c r="X368" i="2"/>
  <c r="Z368" i="2"/>
  <c r="X374" i="2"/>
  <c r="Z374" i="2"/>
  <c r="X370" i="2"/>
  <c r="Z370" i="2"/>
  <c r="X402" i="2"/>
  <c r="Z402" i="2"/>
  <c r="X251" i="2"/>
  <c r="Z251" i="2"/>
  <c r="X267" i="2"/>
  <c r="Z267" i="2"/>
  <c r="X283" i="2"/>
  <c r="Z283" i="2"/>
  <c r="X366" i="2"/>
  <c r="Z366" i="2"/>
  <c r="X259" i="2"/>
  <c r="Z259" i="2"/>
  <c r="X376" i="2"/>
  <c r="Z376" i="2"/>
  <c r="X369" i="2"/>
  <c r="Z369" i="2"/>
  <c r="X383" i="2"/>
  <c r="Z383" i="2"/>
  <c r="X362" i="2"/>
  <c r="Z362" i="2"/>
  <c r="X378" i="2"/>
  <c r="Z378" i="2"/>
  <c r="X380" i="2"/>
  <c r="Z380" i="2"/>
  <c r="X375" i="2"/>
  <c r="Z375" i="2"/>
  <c r="X408" i="2"/>
  <c r="Z408" i="2"/>
  <c r="X407" i="2"/>
  <c r="Z407" i="2"/>
  <c r="X397" i="2"/>
  <c r="Z397" i="2"/>
  <c r="X391" i="2"/>
  <c r="Z391" i="2"/>
  <c r="X398" i="2"/>
  <c r="Z398" i="2"/>
  <c r="X389" i="2"/>
  <c r="Z389" i="2"/>
  <c r="X379" i="2"/>
  <c r="Z379" i="2"/>
  <c r="X413" i="2"/>
  <c r="Z413" i="2"/>
  <c r="X392" i="2"/>
  <c r="Z392" i="2"/>
  <c r="X399" i="2"/>
  <c r="Z399" i="2"/>
  <c r="X384" i="2"/>
  <c r="Z384" i="2"/>
  <c r="X261" i="2"/>
  <c r="Z261" i="2"/>
  <c r="X258" i="2"/>
  <c r="Z258" i="2"/>
  <c r="X239" i="2"/>
  <c r="Z239" i="2"/>
  <c r="X248" i="2"/>
  <c r="Z248" i="2"/>
  <c r="X264" i="2"/>
  <c r="Z264" i="2"/>
  <c r="X255" i="2"/>
  <c r="Z255" i="2"/>
  <c r="X304" i="2"/>
  <c r="Z304" i="2"/>
  <c r="X323" i="2"/>
  <c r="Z323" i="2"/>
  <c r="X337" i="2"/>
  <c r="Z337" i="2"/>
  <c r="X321" i="2"/>
  <c r="Z321" i="2"/>
  <c r="X171" i="12"/>
  <c r="X170" i="12"/>
  <c r="X169" i="12"/>
  <c r="X168" i="12"/>
  <c r="X167" i="12"/>
  <c r="X166" i="12"/>
  <c r="X165" i="12"/>
  <c r="X164" i="12"/>
  <c r="X163" i="12"/>
  <c r="X162" i="12"/>
  <c r="X161" i="12"/>
  <c r="X193" i="12"/>
  <c r="Z193" i="12"/>
  <c r="X36" i="12"/>
  <c r="Z36" i="12"/>
  <c r="X192" i="12"/>
  <c r="Z192" i="12"/>
  <c r="X191" i="12"/>
  <c r="Z191" i="12"/>
  <c r="R190" i="12"/>
  <c r="X190" i="12"/>
  <c r="Z190" i="12"/>
  <c r="Y190" i="12"/>
  <c r="X35" i="12"/>
  <c r="Z35" i="12"/>
  <c r="X34" i="12"/>
  <c r="Z34" i="12"/>
  <c r="X189" i="12"/>
  <c r="Z189" i="12"/>
  <c r="R188" i="12"/>
  <c r="X188" i="12"/>
  <c r="Z188" i="12"/>
  <c r="Y188" i="12"/>
  <c r="R187" i="12"/>
  <c r="X187" i="12"/>
  <c r="Z187" i="12"/>
  <c r="Y187" i="12"/>
  <c r="X49" i="12"/>
  <c r="Z49" i="12"/>
  <c r="X186" i="12"/>
  <c r="Z186" i="12"/>
  <c r="X185" i="12"/>
  <c r="Z185" i="12"/>
  <c r="X184" i="12"/>
  <c r="Z184" i="12"/>
  <c r="X33" i="12"/>
  <c r="Z33" i="12"/>
  <c r="X32" i="12"/>
  <c r="Z32" i="12"/>
  <c r="X31" i="12"/>
  <c r="Z31" i="12"/>
  <c r="R183" i="12"/>
  <c r="X183" i="12"/>
  <c r="Z183" i="12"/>
  <c r="Y183" i="12"/>
  <c r="R182" i="12"/>
  <c r="X182" i="12"/>
  <c r="Z182" i="12"/>
  <c r="Y182" i="12"/>
  <c r="X30" i="12"/>
  <c r="Z30" i="12"/>
  <c r="X29" i="12"/>
  <c r="Z29" i="12"/>
  <c r="X181" i="12"/>
  <c r="Z181" i="12"/>
  <c r="X28" i="12"/>
  <c r="Z28" i="12"/>
  <c r="X147" i="12"/>
  <c r="Z147" i="12"/>
  <c r="X180" i="12"/>
  <c r="Z180" i="12"/>
  <c r="X179" i="12"/>
  <c r="Z179" i="12"/>
  <c r="X27" i="12"/>
  <c r="Z27" i="12"/>
  <c r="X26" i="12"/>
  <c r="Z26" i="12"/>
  <c r="X178" i="12"/>
  <c r="Z178" i="12"/>
  <c r="X201" i="12"/>
  <c r="Z201" i="12"/>
  <c r="W201" i="12"/>
  <c r="X25" i="12"/>
  <c r="Z25" i="12"/>
  <c r="X24" i="12"/>
  <c r="Z24" i="12"/>
  <c r="X23" i="12"/>
  <c r="Z23" i="12"/>
  <c r="X146" i="12"/>
  <c r="Z146" i="12"/>
  <c r="X22" i="12"/>
  <c r="Z22" i="12"/>
  <c r="X21" i="12"/>
  <c r="Z21" i="12"/>
  <c r="X48" i="12"/>
  <c r="Z48" i="12"/>
  <c r="R177" i="12"/>
  <c r="X177" i="12"/>
  <c r="Z177" i="12"/>
  <c r="R176" i="12"/>
  <c r="X176" i="12"/>
  <c r="Z176" i="12"/>
  <c r="X145" i="12"/>
  <c r="Z145" i="12"/>
  <c r="X47" i="12"/>
  <c r="Z47" i="12"/>
  <c r="X20" i="12"/>
  <c r="Z20" i="12"/>
  <c r="X46" i="12"/>
  <c r="Z46" i="12"/>
  <c r="X50" i="12"/>
  <c r="Z50" i="12"/>
  <c r="X19" i="12"/>
  <c r="Z19" i="12"/>
  <c r="X144" i="12"/>
  <c r="Z144" i="12"/>
  <c r="X51" i="12"/>
  <c r="Z51" i="12"/>
  <c r="X175" i="12"/>
  <c r="Z175" i="12"/>
  <c r="X18" i="12"/>
  <c r="Z18" i="12"/>
  <c r="X143" i="12"/>
  <c r="Z143" i="12"/>
  <c r="X200" i="12"/>
  <c r="Z200" i="12"/>
  <c r="X53" i="12"/>
  <c r="Z53" i="12"/>
  <c r="X52" i="12"/>
  <c r="Z52" i="12"/>
  <c r="X54" i="12"/>
  <c r="Z54" i="12"/>
  <c r="X55" i="12"/>
  <c r="Z55" i="12"/>
  <c r="X57" i="12"/>
  <c r="Z57" i="12"/>
  <c r="X56" i="12"/>
  <c r="Z56" i="12"/>
  <c r="X59" i="12"/>
  <c r="Z59" i="12"/>
  <c r="X58" i="12"/>
  <c r="Z58" i="12"/>
  <c r="R136" i="12"/>
  <c r="X136" i="12"/>
  <c r="Z136" i="12"/>
  <c r="U136" i="12"/>
  <c r="X61" i="12"/>
  <c r="Z61" i="12"/>
  <c r="X60" i="12"/>
  <c r="Z60" i="12"/>
  <c r="X62" i="12"/>
  <c r="Z62" i="12"/>
  <c r="X65" i="12"/>
  <c r="Z65" i="12"/>
  <c r="X64" i="12"/>
  <c r="Z64" i="12"/>
  <c r="X63" i="12"/>
  <c r="Z63" i="12"/>
  <c r="X70" i="12"/>
  <c r="Z70" i="12"/>
  <c r="X69" i="12"/>
  <c r="Z69" i="12"/>
  <c r="X68" i="12"/>
  <c r="Z68" i="12"/>
  <c r="X67" i="12"/>
  <c r="Z67" i="12"/>
  <c r="X66" i="12"/>
  <c r="Z66" i="12"/>
  <c r="X71" i="12"/>
  <c r="Z71" i="12"/>
  <c r="X72" i="12"/>
  <c r="Z72" i="12"/>
  <c r="X174" i="12"/>
  <c r="Z174" i="12"/>
  <c r="R133" i="12"/>
  <c r="X133" i="12"/>
  <c r="Z133" i="12"/>
  <c r="U133" i="12"/>
  <c r="X17" i="12"/>
  <c r="Z17" i="12"/>
  <c r="X45" i="12"/>
  <c r="Z45" i="12"/>
  <c r="X74" i="12"/>
  <c r="Z74" i="12"/>
  <c r="X73" i="12"/>
  <c r="Z73" i="12"/>
  <c r="X44" i="12"/>
  <c r="Z44" i="12"/>
  <c r="X76" i="12"/>
  <c r="Z76" i="12"/>
  <c r="X75" i="12"/>
  <c r="Z75" i="12"/>
  <c r="X78" i="12"/>
  <c r="Z78" i="12"/>
  <c r="X77" i="12"/>
  <c r="Z77" i="12"/>
  <c r="X80" i="12"/>
  <c r="Z80" i="12"/>
  <c r="X79" i="12"/>
  <c r="Z79" i="12"/>
  <c r="X109" i="12"/>
  <c r="Z109" i="12"/>
  <c r="X173" i="12"/>
  <c r="Z173" i="12"/>
  <c r="X172" i="12"/>
  <c r="Z172" i="12"/>
  <c r="X84" i="12"/>
  <c r="Z84" i="12"/>
  <c r="X83" i="12"/>
  <c r="Z83" i="12"/>
  <c r="X82" i="12"/>
  <c r="Z82" i="12"/>
  <c r="X81" i="12"/>
  <c r="Z81" i="12"/>
  <c r="X16" i="12"/>
  <c r="Z16" i="12"/>
  <c r="X15" i="12"/>
  <c r="Z15" i="12"/>
  <c r="X86" i="12"/>
  <c r="Z86" i="12"/>
  <c r="X85" i="12"/>
  <c r="Z85" i="12"/>
  <c r="X43" i="12"/>
  <c r="Z43" i="12"/>
  <c r="X87" i="12"/>
  <c r="Z87" i="12"/>
  <c r="X89" i="12"/>
  <c r="Z89" i="12"/>
  <c r="X88" i="12"/>
  <c r="Z88" i="12"/>
  <c r="X90" i="12"/>
  <c r="Z90" i="12"/>
  <c r="X91" i="12"/>
  <c r="Z91" i="12"/>
  <c r="X92" i="12"/>
  <c r="Z92" i="12"/>
  <c r="X110" i="12"/>
  <c r="Z110" i="12"/>
  <c r="X160" i="12"/>
  <c r="Z160" i="12"/>
  <c r="R159" i="12"/>
  <c r="X159" i="12"/>
  <c r="Z159" i="12"/>
  <c r="X142" i="12"/>
  <c r="Z142" i="12"/>
  <c r="X94" i="12"/>
  <c r="Z94" i="12"/>
  <c r="X93" i="12"/>
  <c r="Z93" i="12"/>
  <c r="X14" i="12"/>
  <c r="Z14" i="12"/>
  <c r="X13" i="12"/>
  <c r="Z13" i="12"/>
  <c r="V13" i="12"/>
  <c r="X97" i="12"/>
  <c r="Z97" i="12"/>
  <c r="X96" i="12"/>
  <c r="Z96" i="12"/>
  <c r="X95" i="12"/>
  <c r="Z95" i="12"/>
  <c r="X99" i="12"/>
  <c r="Z99" i="12"/>
  <c r="X98" i="12"/>
  <c r="Z98" i="12"/>
  <c r="X101" i="12"/>
  <c r="Z101" i="12"/>
  <c r="X100" i="12"/>
  <c r="Z100" i="12"/>
  <c r="X111" i="12"/>
  <c r="Z111" i="12"/>
  <c r="X102" i="12"/>
  <c r="Z102" i="12"/>
  <c r="X112" i="12"/>
  <c r="Z112" i="12"/>
  <c r="X12" i="12"/>
  <c r="Z12" i="12"/>
  <c r="X113" i="12"/>
  <c r="Z113" i="12"/>
  <c r="R158" i="12"/>
  <c r="X158" i="12"/>
  <c r="Z158" i="12"/>
  <c r="X114" i="12"/>
  <c r="Z114" i="12"/>
  <c r="X115" i="12"/>
  <c r="Z115" i="12"/>
  <c r="X42" i="12"/>
  <c r="Z42" i="12"/>
  <c r="X41" i="12"/>
  <c r="Z41" i="12"/>
  <c r="X116" i="12"/>
  <c r="Z116" i="12"/>
  <c r="X103" i="12"/>
  <c r="Z103" i="12"/>
  <c r="X104" i="12"/>
  <c r="Z104" i="12"/>
  <c r="X117" i="12"/>
  <c r="Z117" i="12"/>
  <c r="X119" i="12"/>
  <c r="Z119" i="12"/>
  <c r="X118" i="12"/>
  <c r="Z118" i="12"/>
  <c r="X105" i="12"/>
  <c r="Z105" i="12"/>
  <c r="X120" i="12"/>
  <c r="Z120" i="12"/>
  <c r="X121" i="12"/>
  <c r="Z121" i="12"/>
  <c r="X122" i="12"/>
  <c r="Z122" i="12"/>
  <c r="X123" i="12"/>
  <c r="Z123" i="12"/>
  <c r="X106" i="12"/>
  <c r="Z106" i="12"/>
  <c r="X107" i="12"/>
  <c r="Z107" i="12"/>
  <c r="X124" i="12"/>
  <c r="Z124" i="12"/>
  <c r="X125" i="12"/>
  <c r="Z125" i="12"/>
  <c r="X40" i="12"/>
  <c r="Z40" i="12"/>
  <c r="X126" i="12"/>
  <c r="Z126" i="12"/>
  <c r="X141" i="12"/>
  <c r="Z141" i="12"/>
  <c r="X207" i="12"/>
  <c r="Z207" i="12"/>
  <c r="X108" i="12"/>
  <c r="Z108" i="12"/>
  <c r="X11" i="12"/>
  <c r="Z11" i="12"/>
  <c r="X127" i="12"/>
  <c r="Z127" i="12"/>
  <c r="X10" i="12"/>
  <c r="Z10" i="12"/>
  <c r="X202" i="12"/>
  <c r="Z202" i="12"/>
  <c r="X9" i="12"/>
  <c r="Z9" i="12"/>
  <c r="X8" i="12"/>
  <c r="Z8" i="12"/>
  <c r="X128" i="12"/>
  <c r="Z128" i="12"/>
  <c r="X199" i="12"/>
  <c r="Z199" i="12"/>
  <c r="X198" i="12"/>
  <c r="Z198" i="12"/>
  <c r="X197" i="12"/>
  <c r="Z197" i="12"/>
  <c r="X157" i="12"/>
  <c r="Z157" i="12"/>
  <c r="X7" i="12"/>
  <c r="Z7" i="12"/>
  <c r="X39" i="12"/>
  <c r="Z39" i="12"/>
  <c r="X129" i="12"/>
  <c r="Z129" i="12"/>
  <c r="X140" i="12"/>
  <c r="Z140" i="12"/>
  <c r="X130" i="12"/>
  <c r="Z130" i="12"/>
  <c r="X6" i="12"/>
  <c r="Z6" i="12"/>
  <c r="X196" i="12"/>
  <c r="Z196" i="12"/>
  <c r="X5" i="12"/>
  <c r="Z5" i="12"/>
  <c r="X139" i="12"/>
  <c r="Z139" i="12"/>
  <c r="X135" i="12"/>
  <c r="Z135" i="12"/>
  <c r="X195" i="12"/>
  <c r="Z195" i="12"/>
  <c r="X194" i="12"/>
  <c r="Z194" i="12"/>
  <c r="X138" i="12"/>
  <c r="Z138" i="12"/>
  <c r="R134" i="12"/>
  <c r="X134" i="12"/>
  <c r="Z134" i="12"/>
  <c r="U134" i="12"/>
  <c r="X4" i="12"/>
  <c r="Z4" i="12"/>
  <c r="R132" i="12"/>
  <c r="X132" i="12"/>
  <c r="Z132" i="12"/>
  <c r="U132" i="12"/>
  <c r="X137" i="12"/>
  <c r="Z137" i="12"/>
  <c r="X156" i="12"/>
  <c r="X155" i="12"/>
  <c r="X154" i="12"/>
  <c r="X153" i="12"/>
  <c r="X152" i="12"/>
  <c r="X151" i="12"/>
  <c r="X206" i="12"/>
  <c r="Z206" i="12"/>
  <c r="X205" i="12"/>
  <c r="Z205" i="12"/>
  <c r="X150" i="12"/>
  <c r="Z150" i="12"/>
  <c r="V150" i="12"/>
  <c r="X149" i="12"/>
  <c r="Z149" i="12"/>
  <c r="X148" i="12"/>
  <c r="Z148" i="12"/>
  <c r="X131" i="12"/>
  <c r="Z131" i="12"/>
  <c r="X38" i="12"/>
  <c r="Z38" i="12"/>
  <c r="X37" i="12"/>
  <c r="Z37" i="12"/>
  <c r="X204" i="12"/>
  <c r="Z204" i="12"/>
  <c r="X203" i="12"/>
  <c r="Z203" i="12"/>
  <c r="X3" i="12"/>
  <c r="Z3" i="12"/>
  <c r="Y3" i="12"/>
  <c r="V3" i="12"/>
  <c r="X2" i="12"/>
  <c r="Z2" i="12"/>
  <c r="AG192" i="1"/>
  <c r="AF192" i="1"/>
  <c r="AE192" i="1"/>
  <c r="AD192" i="1"/>
  <c r="AC192" i="1"/>
  <c r="AB192" i="1"/>
  <c r="AG191" i="1"/>
  <c r="AF191" i="1"/>
  <c r="AE191" i="1"/>
  <c r="AD191" i="1"/>
  <c r="AC191" i="1"/>
  <c r="AB191" i="1"/>
  <c r="X338" i="1"/>
  <c r="Z338" i="1"/>
  <c r="X276" i="1"/>
  <c r="Z276" i="1"/>
  <c r="X344" i="1"/>
  <c r="Z344" i="1"/>
  <c r="X350" i="1"/>
  <c r="Z350" i="1"/>
  <c r="X334" i="1"/>
  <c r="Z334" i="1"/>
  <c r="X360" i="1"/>
  <c r="Z360" i="1"/>
  <c r="X220" i="1"/>
  <c r="Z220" i="1"/>
  <c r="X215" i="1"/>
  <c r="Z215" i="1"/>
  <c r="X237" i="1"/>
  <c r="Z237" i="1"/>
  <c r="X307" i="1"/>
  <c r="Z307" i="1"/>
  <c r="X286" i="1"/>
  <c r="Z286" i="1"/>
  <c r="X341" i="1"/>
  <c r="Z341" i="1"/>
  <c r="X347" i="1"/>
  <c r="Z347" i="1"/>
  <c r="X343" i="1"/>
  <c r="Z343" i="1"/>
  <c r="X373" i="1"/>
  <c r="Z373" i="1"/>
  <c r="X222" i="1"/>
  <c r="Z222" i="1"/>
  <c r="X239" i="1"/>
  <c r="Z239" i="1"/>
  <c r="X255" i="1"/>
  <c r="Z255" i="1"/>
  <c r="X339" i="1"/>
  <c r="Z339" i="1"/>
  <c r="X230" i="1"/>
  <c r="Z230" i="1"/>
  <c r="X349" i="1"/>
  <c r="Z349" i="1"/>
  <c r="X342" i="1"/>
  <c r="Z342" i="1"/>
  <c r="X356" i="1"/>
  <c r="Z356" i="1"/>
  <c r="X335" i="1"/>
  <c r="Z335" i="1"/>
  <c r="X351" i="1"/>
  <c r="Z351" i="1"/>
  <c r="X353" i="1"/>
  <c r="Z353" i="1"/>
  <c r="X348" i="1"/>
  <c r="Z348" i="1"/>
  <c r="X378" i="1"/>
  <c r="Z378" i="1"/>
  <c r="X377" i="1"/>
  <c r="Z377" i="1"/>
  <c r="X367" i="1"/>
  <c r="Z367" i="1"/>
  <c r="X363" i="1"/>
  <c r="Z363" i="1"/>
  <c r="X368" i="1"/>
  <c r="Z368" i="1"/>
  <c r="X361" i="1"/>
  <c r="Z361" i="1"/>
  <c r="X352" i="1"/>
  <c r="Z352" i="1"/>
  <c r="X382" i="1"/>
  <c r="Z382" i="1"/>
  <c r="X364" i="1"/>
  <c r="Z364" i="1"/>
  <c r="X369" i="1"/>
  <c r="Z369" i="1"/>
  <c r="X357" i="1"/>
  <c r="Z357" i="1"/>
  <c r="X232" i="1"/>
  <c r="Z232" i="1"/>
  <c r="X229" i="1"/>
  <c r="Z229" i="1"/>
  <c r="X209" i="1"/>
  <c r="Z209" i="1"/>
  <c r="X218" i="1"/>
  <c r="Z218" i="1"/>
  <c r="X234" i="1"/>
  <c r="Z234" i="1"/>
  <c r="X223" i="1"/>
  <c r="Z223" i="1"/>
  <c r="X273" i="1"/>
  <c r="Z273" i="1"/>
  <c r="X290" i="1"/>
  <c r="Z290" i="1"/>
  <c r="X308" i="1"/>
  <c r="Z308" i="1"/>
  <c r="X289" i="1"/>
  <c r="Z289" i="1"/>
  <c r="AG434" i="2"/>
  <c r="AF434" i="2"/>
  <c r="AE434" i="2"/>
  <c r="AD434" i="2"/>
  <c r="AC434" i="2"/>
  <c r="AB434" i="2"/>
  <c r="AG433" i="2"/>
  <c r="AF433" i="2"/>
  <c r="AE433" i="2"/>
  <c r="AD433" i="2"/>
  <c r="AC433" i="2"/>
  <c r="AB433" i="2"/>
  <c r="AB413" i="1"/>
  <c r="AG412" i="1"/>
  <c r="AF412" i="1"/>
  <c r="AE412" i="1"/>
  <c r="AD412" i="1"/>
  <c r="AC412" i="1"/>
  <c r="AB412" i="1"/>
  <c r="X438" i="1"/>
  <c r="Z438" i="1"/>
  <c r="X437" i="1"/>
  <c r="Z437" i="1"/>
  <c r="X436" i="1"/>
  <c r="Z436" i="1"/>
  <c r="X435" i="1"/>
  <c r="Z435" i="1"/>
  <c r="X434" i="1"/>
  <c r="Z434" i="1"/>
  <c r="X433" i="1"/>
  <c r="Z433" i="1"/>
  <c r="X432" i="1"/>
  <c r="Z432" i="1"/>
  <c r="X431" i="1"/>
  <c r="Z431" i="1"/>
  <c r="X430" i="1"/>
  <c r="Z430" i="1"/>
  <c r="X429" i="1"/>
  <c r="Z429" i="1"/>
  <c r="X428" i="1"/>
  <c r="Z428" i="1"/>
  <c r="X427" i="1"/>
  <c r="Z427" i="1"/>
  <c r="X426" i="1"/>
  <c r="Z426" i="1"/>
  <c r="X425" i="1"/>
  <c r="Z425" i="1"/>
  <c r="X424" i="1"/>
  <c r="Z424" i="1"/>
  <c r="X423" i="1"/>
  <c r="Z423" i="1"/>
  <c r="X421" i="1"/>
  <c r="Z421" i="1"/>
  <c r="X420" i="1"/>
  <c r="Z420" i="1"/>
  <c r="X422" i="1"/>
  <c r="Z422" i="1"/>
  <c r="X419" i="1"/>
  <c r="Z419" i="1"/>
  <c r="X418" i="1"/>
  <c r="Z418" i="1"/>
  <c r="X417" i="1"/>
  <c r="Z417" i="1"/>
  <c r="X416" i="1"/>
  <c r="Z416" i="1"/>
  <c r="X415" i="1"/>
  <c r="Z415" i="1"/>
  <c r="X460" i="2"/>
  <c r="Z460" i="2"/>
  <c r="X459" i="2"/>
  <c r="Z459" i="2"/>
  <c r="X458" i="2"/>
  <c r="Z458" i="2"/>
  <c r="X457" i="2"/>
  <c r="Z457" i="2"/>
  <c r="X456" i="2"/>
  <c r="Z456" i="2"/>
  <c r="X455" i="2"/>
  <c r="Z455" i="2"/>
  <c r="X454" i="2"/>
  <c r="Z454" i="2"/>
  <c r="X453" i="2"/>
  <c r="Z453" i="2"/>
  <c r="X452" i="2"/>
  <c r="Z452" i="2"/>
  <c r="X451" i="2"/>
  <c r="Z451" i="2"/>
  <c r="X450" i="2"/>
  <c r="Z450" i="2"/>
  <c r="X449" i="2"/>
  <c r="Z449" i="2"/>
  <c r="X448" i="2"/>
  <c r="Z448" i="2"/>
  <c r="X447" i="2"/>
  <c r="Z447" i="2"/>
  <c r="X446" i="2"/>
  <c r="Z446" i="2"/>
  <c r="X445" i="2"/>
  <c r="Z445" i="2"/>
  <c r="X443" i="2"/>
  <c r="Z443" i="2"/>
  <c r="X442" i="2"/>
  <c r="Z442" i="2"/>
  <c r="X444" i="2"/>
  <c r="Z444" i="2"/>
  <c r="X441" i="2"/>
  <c r="Z441" i="2"/>
  <c r="X440" i="2"/>
  <c r="Z440" i="2"/>
  <c r="X439" i="2"/>
  <c r="Z439" i="2"/>
  <c r="X438" i="2"/>
  <c r="Z438" i="2"/>
  <c r="X437" i="2"/>
  <c r="Z437" i="2"/>
  <c r="AG309" i="3"/>
  <c r="AG317" i="3"/>
  <c r="AF317" i="3"/>
  <c r="AE317" i="3"/>
  <c r="AD317" i="3"/>
  <c r="AC317" i="3"/>
  <c r="AB317" i="3"/>
  <c r="AG316" i="3"/>
  <c r="AF316" i="3"/>
  <c r="AE316" i="3"/>
  <c r="AD316" i="3"/>
  <c r="AC316" i="3"/>
  <c r="AB316" i="3"/>
  <c r="X343" i="3"/>
  <c r="Z343" i="3"/>
  <c r="X342" i="3"/>
  <c r="Z342" i="3"/>
  <c r="X341" i="3"/>
  <c r="Z341" i="3"/>
  <c r="X340" i="3"/>
  <c r="Z340" i="3"/>
  <c r="X339" i="3"/>
  <c r="Z339" i="3"/>
  <c r="X338" i="3"/>
  <c r="Z338" i="3"/>
  <c r="X337" i="3"/>
  <c r="Z337" i="3"/>
  <c r="X336" i="3"/>
  <c r="Z336" i="3"/>
  <c r="X335" i="3"/>
  <c r="Z335" i="3"/>
  <c r="X334" i="3"/>
  <c r="Z334" i="3"/>
  <c r="X333" i="3"/>
  <c r="Z333" i="3"/>
  <c r="X332" i="3"/>
  <c r="Z332" i="3"/>
  <c r="X331" i="3"/>
  <c r="Z331" i="3"/>
  <c r="X330" i="3"/>
  <c r="Z330" i="3"/>
  <c r="X329" i="3"/>
  <c r="Z329" i="3"/>
  <c r="X328" i="3"/>
  <c r="Z328" i="3"/>
  <c r="X326" i="3"/>
  <c r="Z326" i="3"/>
  <c r="X325" i="3"/>
  <c r="Z325" i="3"/>
  <c r="X327" i="3"/>
  <c r="Z327" i="3"/>
  <c r="X324" i="3"/>
  <c r="Z324" i="3"/>
  <c r="X323" i="3"/>
  <c r="Z323" i="3"/>
  <c r="X322" i="3"/>
  <c r="Z322" i="3"/>
  <c r="X321" i="3"/>
  <c r="Z321" i="3"/>
  <c r="X320" i="3"/>
  <c r="Z320" i="3"/>
  <c r="AG295" i="3"/>
  <c r="AF295" i="3"/>
  <c r="AE295" i="3"/>
  <c r="AD295" i="3"/>
  <c r="AC295" i="3"/>
  <c r="AB295" i="3"/>
  <c r="AG286" i="3"/>
  <c r="AF286" i="3"/>
  <c r="AE286" i="3"/>
  <c r="AD286" i="3"/>
  <c r="AC286" i="3"/>
  <c r="AB286" i="3"/>
  <c r="AG258" i="3"/>
  <c r="AF258" i="3"/>
  <c r="AE258" i="3"/>
  <c r="AD258" i="3"/>
  <c r="AC258" i="3"/>
  <c r="AB258" i="3"/>
  <c r="X289" i="3"/>
  <c r="Z289" i="3"/>
  <c r="X287" i="3"/>
  <c r="Z287" i="3"/>
  <c r="X290" i="3"/>
  <c r="Z290" i="3"/>
  <c r="X291" i="3"/>
  <c r="Z291" i="3"/>
  <c r="X288" i="3"/>
  <c r="Z288" i="3"/>
  <c r="X292" i="3"/>
  <c r="Z292" i="3"/>
  <c r="X285" i="3"/>
  <c r="Z285" i="3"/>
  <c r="X284" i="3"/>
  <c r="Z284" i="3"/>
  <c r="X286" i="3"/>
  <c r="Z286" i="3"/>
  <c r="X297" i="3"/>
  <c r="Z297" i="3"/>
  <c r="X296" i="3"/>
  <c r="Z296" i="3"/>
  <c r="X298" i="3"/>
  <c r="Z298" i="3"/>
  <c r="X300" i="3"/>
  <c r="Z300" i="3"/>
  <c r="X299" i="3"/>
  <c r="Z299" i="3"/>
  <c r="X301" i="3"/>
  <c r="Z301" i="3"/>
  <c r="X293" i="3"/>
  <c r="Z293" i="3"/>
  <c r="X294" i="3"/>
  <c r="Z294" i="3"/>
  <c r="X295" i="3"/>
  <c r="Z295" i="3"/>
  <c r="X267" i="3"/>
  <c r="Z267" i="3"/>
  <c r="X260" i="3"/>
  <c r="Z260" i="3"/>
  <c r="X270" i="3"/>
  <c r="Z270" i="3"/>
  <c r="X268" i="3"/>
  <c r="Z268" i="3"/>
  <c r="X273" i="3"/>
  <c r="Z273" i="3"/>
  <c r="X266" i="3"/>
  <c r="Z266" i="3"/>
  <c r="X271" i="3"/>
  <c r="Z271" i="3"/>
  <c r="X272" i="3"/>
  <c r="Z272" i="3"/>
  <c r="X269" i="3"/>
  <c r="Z269" i="3"/>
  <c r="X282" i="3"/>
  <c r="Z282" i="3"/>
  <c r="X281" i="3"/>
  <c r="Z281" i="3"/>
  <c r="X279" i="3"/>
  <c r="Z279" i="3"/>
  <c r="X276" i="3"/>
  <c r="Z276" i="3"/>
  <c r="X278" i="3"/>
  <c r="Z278" i="3"/>
  <c r="X275" i="3"/>
  <c r="Z275" i="3"/>
  <c r="X283" i="3"/>
  <c r="Z283" i="3"/>
  <c r="X277" i="3"/>
  <c r="Z277" i="3"/>
  <c r="X280" i="3"/>
  <c r="Z280" i="3"/>
  <c r="X274" i="3"/>
  <c r="Z274" i="3"/>
  <c r="X261" i="3"/>
  <c r="Z261" i="3"/>
  <c r="X259" i="3"/>
  <c r="Z259" i="3"/>
  <c r="X256" i="3"/>
  <c r="Z256" i="3"/>
  <c r="X257" i="3"/>
  <c r="Z257" i="3"/>
  <c r="X262" i="3"/>
  <c r="Z262" i="3"/>
  <c r="X258" i="3"/>
  <c r="Z258" i="3"/>
  <c r="X264" i="3"/>
  <c r="Z264" i="3"/>
  <c r="X265" i="3"/>
  <c r="Z265" i="3"/>
  <c r="X263" i="3"/>
  <c r="Z263" i="3"/>
  <c r="AB65" i="3"/>
  <c r="AB64" i="3"/>
  <c r="V375" i="3"/>
  <c r="Y375" i="3"/>
  <c r="W377" i="3"/>
  <c r="Y377" i="3"/>
  <c r="W378" i="3"/>
  <c r="Y378" i="3"/>
  <c r="W379" i="3"/>
  <c r="Y379" i="3"/>
  <c r="AG347" i="3"/>
  <c r="AF347" i="3"/>
  <c r="AE347" i="3"/>
  <c r="AD347" i="3"/>
  <c r="AC347" i="3"/>
  <c r="AB347" i="3"/>
  <c r="V363" i="3"/>
  <c r="Y363" i="3"/>
  <c r="V366" i="3"/>
  <c r="Y366" i="3"/>
  <c r="V372" i="3"/>
  <c r="Y372" i="3"/>
  <c r="AG346" i="3"/>
  <c r="AF346" i="3"/>
  <c r="AE346" i="3"/>
  <c r="AD346" i="3"/>
  <c r="AC346" i="3"/>
  <c r="AB346" i="3"/>
  <c r="AB309" i="3"/>
  <c r="AG308" i="3"/>
  <c r="AF308" i="3"/>
  <c r="AE308" i="3"/>
  <c r="AD308" i="3"/>
  <c r="AC308" i="3"/>
  <c r="AB308" i="3"/>
  <c r="Y244" i="3"/>
  <c r="Y245" i="3"/>
  <c r="Y248" i="3"/>
  <c r="Y250" i="3"/>
  <c r="Y251" i="3"/>
  <c r="AG218" i="3"/>
  <c r="AF218" i="3"/>
  <c r="AE218" i="3"/>
  <c r="AD218" i="3"/>
  <c r="AC218" i="3"/>
  <c r="AB218" i="3"/>
  <c r="AG112" i="3"/>
  <c r="AF112" i="3"/>
  <c r="AE112" i="3"/>
  <c r="AD112" i="3"/>
  <c r="AC112" i="3"/>
  <c r="AB112" i="3"/>
  <c r="AG111" i="3"/>
  <c r="AF111" i="3"/>
  <c r="AE111" i="3"/>
  <c r="AD111" i="3"/>
  <c r="AC111" i="3"/>
  <c r="AB111" i="3"/>
  <c r="AG105" i="3"/>
  <c r="AF105" i="3"/>
  <c r="AE105" i="3"/>
  <c r="AD105" i="3"/>
  <c r="AC105" i="3"/>
  <c r="AB105" i="3"/>
  <c r="AG65" i="3"/>
  <c r="AF65" i="3"/>
  <c r="AE65" i="3"/>
  <c r="AD65" i="3"/>
  <c r="AC65" i="3"/>
  <c r="AG64" i="3"/>
  <c r="AF64" i="3"/>
  <c r="AE64" i="3"/>
  <c r="AD64" i="3"/>
  <c r="AC64" i="3"/>
  <c r="AB56" i="3"/>
  <c r="AB57" i="3"/>
  <c r="AG56" i="3"/>
  <c r="AE56" i="3"/>
  <c r="AD56" i="3"/>
  <c r="AC56" i="3"/>
  <c r="AB45" i="3"/>
  <c r="AB44" i="3"/>
  <c r="AG44" i="3"/>
  <c r="AF44" i="3"/>
  <c r="AE44" i="3"/>
  <c r="AD44" i="3"/>
  <c r="AC44" i="3"/>
  <c r="AB29" i="3"/>
  <c r="AB28" i="3"/>
  <c r="AB27" i="3"/>
  <c r="AG29" i="3"/>
  <c r="AF29" i="3"/>
  <c r="AE29" i="3"/>
  <c r="AD29" i="3"/>
  <c r="AC29" i="3"/>
  <c r="AG28" i="3"/>
  <c r="AF28" i="3"/>
  <c r="AE28" i="3"/>
  <c r="AD28" i="3"/>
  <c r="AC28" i="3"/>
  <c r="AG27" i="3"/>
  <c r="AF27" i="3"/>
  <c r="AE27" i="3"/>
  <c r="AD27" i="3"/>
  <c r="AC27" i="3"/>
  <c r="AB5" i="3"/>
  <c r="AB4" i="3"/>
  <c r="AG5" i="3"/>
  <c r="AF5" i="3"/>
  <c r="AE5" i="3"/>
  <c r="AD5" i="3"/>
  <c r="AC5" i="3"/>
  <c r="AG4" i="3"/>
  <c r="AF4" i="3"/>
  <c r="AE4" i="3"/>
  <c r="AD4" i="3"/>
  <c r="AC4" i="3"/>
  <c r="AB183" i="2"/>
  <c r="AG190" i="2"/>
  <c r="AF190" i="2"/>
  <c r="AE190" i="2"/>
  <c r="AD190" i="2"/>
  <c r="AC190" i="2"/>
  <c r="AB190" i="2"/>
  <c r="AG189" i="2"/>
  <c r="AF189" i="2"/>
  <c r="AE189" i="2"/>
  <c r="AD189" i="2"/>
  <c r="AC189" i="2"/>
  <c r="AB189" i="2"/>
  <c r="AG129" i="2"/>
  <c r="AF129" i="2"/>
  <c r="AE129" i="2"/>
  <c r="AD129" i="2"/>
  <c r="AC129" i="2"/>
  <c r="AB129" i="2"/>
  <c r="Y81" i="2"/>
  <c r="AB77" i="2"/>
  <c r="Y117" i="2"/>
  <c r="AG78" i="2"/>
  <c r="AF78" i="2"/>
  <c r="AE78" i="2"/>
  <c r="AD78" i="2"/>
  <c r="AC78" i="2"/>
  <c r="AG77" i="2"/>
  <c r="AF77" i="2"/>
  <c r="AE77" i="2"/>
  <c r="AD77" i="2"/>
  <c r="AC77" i="2"/>
  <c r="AG67" i="2"/>
  <c r="AB67" i="2"/>
  <c r="AG66" i="2"/>
  <c r="AF66" i="2"/>
  <c r="AE66" i="2"/>
  <c r="AD66" i="2"/>
  <c r="AC66" i="2"/>
  <c r="AB30" i="2"/>
  <c r="AB29" i="2"/>
  <c r="AG30" i="2"/>
  <c r="AF30" i="2"/>
  <c r="AE30" i="2"/>
  <c r="AD30" i="2"/>
  <c r="AC30" i="2"/>
  <c r="AG29" i="2"/>
  <c r="AF29" i="2"/>
  <c r="AE29" i="2"/>
  <c r="AD29" i="2"/>
  <c r="AC29" i="2"/>
  <c r="AF24" i="2"/>
  <c r="AF23" i="2"/>
  <c r="AC24" i="2"/>
  <c r="AC23" i="2"/>
  <c r="AG48" i="2"/>
  <c r="AF48" i="2"/>
  <c r="AE48" i="2"/>
  <c r="AD48" i="2"/>
  <c r="AC48" i="2"/>
  <c r="AB48" i="2"/>
  <c r="AB6" i="10"/>
  <c r="AB5" i="10"/>
  <c r="AB4" i="10"/>
  <c r="AB3" i="10"/>
  <c r="AA6" i="10"/>
  <c r="AA5" i="10"/>
  <c r="AA4" i="10"/>
  <c r="AA3" i="10"/>
  <c r="AG6" i="10"/>
  <c r="AF6" i="10"/>
  <c r="AE6" i="10"/>
  <c r="AD6" i="10"/>
  <c r="AC6" i="10"/>
  <c r="AG5" i="10"/>
  <c r="AF5" i="10"/>
  <c r="AE5" i="10"/>
  <c r="AD5" i="10"/>
  <c r="AC5" i="10"/>
  <c r="AG4" i="10"/>
  <c r="AF4" i="10"/>
  <c r="AE4" i="10"/>
  <c r="AD4" i="10"/>
  <c r="AC4" i="10"/>
  <c r="AG3" i="10"/>
  <c r="AF3" i="10"/>
  <c r="AE3" i="10"/>
  <c r="AD3" i="10"/>
  <c r="AC3" i="10"/>
  <c r="X73" i="10"/>
  <c r="Z73" i="10"/>
  <c r="X71" i="10"/>
  <c r="Z71" i="10"/>
  <c r="X70" i="10"/>
  <c r="Z70" i="10"/>
  <c r="X64" i="10"/>
  <c r="Z64" i="10"/>
  <c r="X63" i="10"/>
  <c r="Z63" i="10"/>
  <c r="X62" i="10"/>
  <c r="Z62" i="10"/>
  <c r="X61" i="10"/>
  <c r="Z61" i="10"/>
  <c r="X60" i="10"/>
  <c r="Z60" i="10"/>
  <c r="X59" i="10"/>
  <c r="Z59" i="10"/>
  <c r="X58" i="10"/>
  <c r="Z58" i="10"/>
  <c r="X57" i="10"/>
  <c r="Z57" i="10"/>
  <c r="X56" i="10"/>
  <c r="Z56" i="10"/>
  <c r="X55" i="10"/>
  <c r="Z55" i="10"/>
  <c r="X54" i="10"/>
  <c r="Z54" i="10"/>
  <c r="X53" i="10"/>
  <c r="Z53" i="10"/>
  <c r="X52" i="10"/>
  <c r="Z52" i="10"/>
  <c r="X51" i="10"/>
  <c r="Z51" i="10"/>
  <c r="X50" i="10"/>
  <c r="Z50" i="10"/>
  <c r="X49" i="10"/>
  <c r="Z49" i="10"/>
  <c r="X48" i="10"/>
  <c r="Z48" i="10"/>
  <c r="X47" i="10"/>
  <c r="Z47" i="10"/>
  <c r="X46" i="10"/>
  <c r="Z46" i="10"/>
  <c r="X45" i="10"/>
  <c r="Z45" i="10"/>
  <c r="X44" i="10"/>
  <c r="Z44" i="10"/>
  <c r="X43" i="10"/>
  <c r="Z43" i="10"/>
  <c r="X42" i="10"/>
  <c r="Z42" i="10"/>
  <c r="X41" i="10"/>
  <c r="Z41" i="10"/>
  <c r="X28" i="10"/>
  <c r="Z28" i="10"/>
  <c r="X27" i="10"/>
  <c r="Z27" i="10"/>
  <c r="X26" i="10"/>
  <c r="Z26" i="10"/>
  <c r="X25" i="10"/>
  <c r="Z25" i="10"/>
  <c r="X24" i="10"/>
  <c r="Z24" i="10"/>
  <c r="X23" i="10"/>
  <c r="Z23" i="10"/>
  <c r="X22" i="10"/>
  <c r="Z22" i="10"/>
  <c r="X21" i="10"/>
  <c r="Z21" i="10"/>
  <c r="X20" i="10"/>
  <c r="Z20" i="10"/>
  <c r="X19" i="10"/>
  <c r="Z19" i="10"/>
  <c r="X18" i="10"/>
  <c r="Z18" i="10"/>
  <c r="X13" i="10"/>
  <c r="Z13" i="10"/>
  <c r="X12" i="10"/>
  <c r="Z12" i="10"/>
  <c r="X11" i="10"/>
  <c r="Z11" i="10"/>
  <c r="X10" i="10"/>
  <c r="Z10" i="10"/>
  <c r="X9" i="10"/>
  <c r="Z9" i="10"/>
  <c r="X8" i="10"/>
  <c r="Z8" i="10"/>
  <c r="X7" i="10"/>
  <c r="Z7" i="10"/>
  <c r="X6" i="10"/>
  <c r="Z6" i="10"/>
  <c r="X5" i="10"/>
  <c r="Z5" i="10"/>
  <c r="X4" i="10"/>
  <c r="Z4" i="10"/>
  <c r="X3" i="10"/>
  <c r="Z3" i="10"/>
  <c r="X37" i="10"/>
  <c r="X36" i="10"/>
  <c r="X35" i="10"/>
  <c r="X16" i="10"/>
  <c r="X2" i="10"/>
  <c r="X69" i="10"/>
  <c r="Z69" i="10"/>
  <c r="X78" i="10"/>
  <c r="Z78" i="10"/>
  <c r="X65" i="10"/>
  <c r="Z65" i="10"/>
  <c r="X77" i="10"/>
  <c r="Z77" i="10"/>
  <c r="X15" i="10"/>
  <c r="Z15" i="10"/>
  <c r="X76" i="10"/>
  <c r="Z76" i="10"/>
  <c r="X34" i="10"/>
  <c r="Z34" i="10"/>
  <c r="X75" i="10"/>
  <c r="Z75" i="10"/>
  <c r="X33" i="10"/>
  <c r="Z33" i="10"/>
  <c r="X74" i="10"/>
  <c r="Z74" i="10"/>
  <c r="U39" i="10"/>
  <c r="X39" i="10"/>
  <c r="Z39" i="10"/>
  <c r="V39" i="10"/>
  <c r="Y39" i="10"/>
  <c r="X68" i="10"/>
  <c r="Z68" i="10"/>
  <c r="U32" i="10"/>
  <c r="X32" i="10"/>
  <c r="Z32" i="10"/>
  <c r="V32" i="10"/>
  <c r="Y32" i="10"/>
  <c r="U31" i="10"/>
  <c r="X31" i="10"/>
  <c r="Z31" i="10"/>
  <c r="V31" i="10"/>
  <c r="Y31" i="10"/>
  <c r="X30" i="10"/>
  <c r="Z30" i="10"/>
  <c r="X14" i="10"/>
  <c r="Z14" i="10"/>
  <c r="X67" i="10"/>
  <c r="Z67" i="10"/>
  <c r="X72" i="10"/>
  <c r="Z72" i="10"/>
  <c r="U29" i="10"/>
  <c r="X29" i="10"/>
  <c r="Z29" i="10"/>
  <c r="V29" i="10"/>
  <c r="Y29" i="10"/>
  <c r="X66" i="10"/>
  <c r="Z66" i="10"/>
  <c r="U40" i="10"/>
  <c r="X40" i="10"/>
  <c r="Z40" i="10"/>
  <c r="W40" i="10"/>
  <c r="Y40" i="10"/>
  <c r="U38" i="10"/>
  <c r="X38" i="10"/>
  <c r="Z38" i="10"/>
  <c r="W38" i="10"/>
  <c r="Y38" i="10"/>
  <c r="X17" i="10"/>
  <c r="AG442" i="1"/>
  <c r="AG441" i="1"/>
  <c r="AF442" i="1"/>
  <c r="AF441" i="1"/>
  <c r="AE442" i="1"/>
  <c r="AE441" i="1"/>
  <c r="AD442" i="1"/>
  <c r="AD441" i="1"/>
  <c r="AC442" i="1"/>
  <c r="AC441" i="1"/>
  <c r="AB442" i="1"/>
  <c r="AB441" i="1"/>
  <c r="U449" i="1"/>
  <c r="X449" i="1"/>
  <c r="Z449" i="1"/>
  <c r="U441" i="1"/>
  <c r="U451" i="1"/>
  <c r="X441" i="1"/>
  <c r="Z441" i="1"/>
  <c r="U443" i="1"/>
  <c r="U440" i="1"/>
  <c r="U448" i="1"/>
  <c r="X440" i="1"/>
  <c r="Z440" i="1"/>
  <c r="AG402" i="1"/>
  <c r="AG401" i="1"/>
  <c r="AF402" i="1"/>
  <c r="AF401" i="1"/>
  <c r="AE402" i="1"/>
  <c r="AE401" i="1"/>
  <c r="AD402" i="1"/>
  <c r="AD401" i="1"/>
  <c r="AC402" i="1"/>
  <c r="AC401" i="1"/>
  <c r="AB402" i="1"/>
  <c r="AB401" i="1"/>
  <c r="AG396" i="1"/>
  <c r="AF396" i="1"/>
  <c r="AE396" i="1"/>
  <c r="AD396" i="1"/>
  <c r="AC396" i="1"/>
  <c r="AB396" i="1"/>
  <c r="X408" i="1"/>
  <c r="X394" i="1"/>
  <c r="R374" i="1"/>
  <c r="R346" i="1"/>
  <c r="X374" i="1"/>
  <c r="Z374" i="1"/>
  <c r="R379" i="1"/>
  <c r="R366" i="1"/>
  <c r="R259" i="1"/>
  <c r="X366" i="1"/>
  <c r="Z366" i="1"/>
  <c r="R365" i="1"/>
  <c r="R375" i="1"/>
  <c r="R345" i="1"/>
  <c r="R277" i="1"/>
  <c r="X345" i="1"/>
  <c r="Z345" i="1"/>
  <c r="U309" i="1"/>
  <c r="U208" i="1"/>
  <c r="R309" i="1"/>
  <c r="R208" i="1"/>
  <c r="X309" i="1"/>
  <c r="Z309" i="1"/>
  <c r="U324" i="1"/>
  <c r="R324" i="1"/>
  <c r="U210" i="1"/>
  <c r="R210" i="1"/>
  <c r="X324" i="1"/>
  <c r="Z324" i="1"/>
  <c r="AG178" i="1"/>
  <c r="AG177" i="1"/>
  <c r="AF178" i="1"/>
  <c r="AF177" i="1"/>
  <c r="AE178" i="1"/>
  <c r="AE177" i="1"/>
  <c r="AD178" i="1"/>
  <c r="AD177" i="1"/>
  <c r="AC178" i="1"/>
  <c r="AC177" i="1"/>
  <c r="AB178" i="1"/>
  <c r="AB177" i="1"/>
  <c r="AG171" i="1"/>
  <c r="AF171" i="1"/>
  <c r="AE171" i="1"/>
  <c r="AD171" i="1"/>
  <c r="AC171" i="1"/>
  <c r="AB171" i="1"/>
  <c r="AG125" i="1"/>
  <c r="AG124" i="1"/>
  <c r="AF125" i="1"/>
  <c r="AF124" i="1"/>
  <c r="AE125" i="1"/>
  <c r="AE124" i="1"/>
  <c r="AD125" i="1"/>
  <c r="AD124" i="1"/>
  <c r="AC125" i="1"/>
  <c r="AC124" i="1"/>
  <c r="AB125" i="1"/>
  <c r="AB124" i="1"/>
  <c r="AG71" i="1"/>
  <c r="AF71" i="1"/>
  <c r="AE71" i="1"/>
  <c r="AD71" i="1"/>
  <c r="AC71" i="1"/>
  <c r="AB71" i="1"/>
  <c r="AA70" i="1"/>
  <c r="X169" i="1"/>
  <c r="AG62" i="1"/>
  <c r="AF62" i="1"/>
  <c r="AE62" i="1"/>
  <c r="AD62" i="1"/>
  <c r="AC62" i="1"/>
  <c r="AB62" i="1"/>
  <c r="AG46" i="1"/>
  <c r="AG45" i="1"/>
  <c r="AF45" i="1"/>
  <c r="AE45" i="1"/>
  <c r="AD45" i="1"/>
  <c r="AC45" i="1"/>
  <c r="AB45" i="1"/>
  <c r="AB46" i="1"/>
  <c r="AG23" i="1"/>
  <c r="AG22" i="1"/>
  <c r="AF23" i="1"/>
  <c r="AF22" i="1"/>
  <c r="AE23" i="1"/>
  <c r="AE22" i="1"/>
  <c r="AD23" i="1"/>
  <c r="AD22" i="1"/>
  <c r="AC23" i="1"/>
  <c r="AC22" i="1"/>
  <c r="AB23" i="1"/>
  <c r="AB22" i="1"/>
  <c r="AG29" i="1"/>
  <c r="AG28" i="1"/>
  <c r="AF29" i="1"/>
  <c r="AF28" i="1"/>
  <c r="AE29" i="1"/>
  <c r="AE28" i="1"/>
  <c r="AD29" i="1"/>
  <c r="AD28" i="1"/>
  <c r="AC29" i="1"/>
  <c r="AC28" i="1"/>
  <c r="AB29" i="1"/>
  <c r="AB28" i="1"/>
  <c r="AG7" i="1"/>
  <c r="AG6" i="1"/>
  <c r="AF7" i="1"/>
  <c r="AF6" i="1"/>
  <c r="AE6" i="1"/>
  <c r="AE7" i="1"/>
  <c r="AD7" i="1"/>
  <c r="AD6" i="1"/>
  <c r="AC7" i="1"/>
  <c r="AC6" i="1"/>
  <c r="AB7" i="1"/>
  <c r="AB6" i="1"/>
  <c r="X252" i="1"/>
  <c r="Z252" i="1"/>
  <c r="X263" i="1"/>
  <c r="Z263" i="1"/>
  <c r="X285" i="1"/>
  <c r="Z285" i="1"/>
  <c r="X292" i="1"/>
  <c r="Z292" i="1"/>
  <c r="X280" i="1"/>
  <c r="Z280" i="1"/>
  <c r="X269" i="1"/>
  <c r="Z269" i="1"/>
  <c r="X283" i="1"/>
  <c r="Z283" i="1"/>
  <c r="X327" i="1"/>
  <c r="Z327" i="1"/>
  <c r="X268" i="1"/>
  <c r="Z268" i="1"/>
  <c r="X266" i="1"/>
  <c r="Z266" i="1"/>
  <c r="X326" i="1"/>
  <c r="Z326" i="1"/>
  <c r="X314" i="1"/>
  <c r="Z314" i="1"/>
  <c r="X316" i="1"/>
  <c r="Z316" i="1"/>
  <c r="X248" i="1"/>
  <c r="Z248" i="1"/>
  <c r="X300" i="1"/>
  <c r="Z300" i="1"/>
  <c r="X323" i="1"/>
  <c r="Z323" i="1"/>
  <c r="X313" i="1"/>
  <c r="Z313" i="1"/>
  <c r="X284" i="1"/>
  <c r="Z284" i="1"/>
  <c r="X267" i="1"/>
  <c r="Z267" i="1"/>
  <c r="X329" i="1"/>
  <c r="Z329" i="1"/>
  <c r="X298" i="1"/>
  <c r="Z298" i="1"/>
  <c r="X302" i="1"/>
  <c r="Z302" i="1"/>
  <c r="X330" i="1"/>
  <c r="Z330" i="1"/>
  <c r="X332" i="1"/>
  <c r="Z332" i="1"/>
  <c r="X311" i="1"/>
  <c r="Z311" i="1"/>
  <c r="X317" i="1"/>
  <c r="Z317" i="1"/>
  <c r="X312" i="1"/>
  <c r="Z312" i="1"/>
  <c r="X282" i="1"/>
  <c r="Z282" i="1"/>
  <c r="X321" i="1"/>
  <c r="Z321" i="1"/>
  <c r="X328" i="1"/>
  <c r="Z328" i="1"/>
  <c r="X319" i="1"/>
  <c r="Z319" i="1"/>
  <c r="X331" i="1"/>
  <c r="Z331" i="1"/>
  <c r="X303" i="1"/>
  <c r="Z303" i="1"/>
  <c r="X337" i="1"/>
  <c r="Z337" i="1"/>
  <c r="X271" i="1"/>
  <c r="Z271" i="1"/>
  <c r="X318" i="1"/>
  <c r="Z318" i="1"/>
  <c r="X325" i="1"/>
  <c r="Z325" i="1"/>
  <c r="X320" i="1"/>
  <c r="Z320" i="1"/>
  <c r="X288" i="1"/>
  <c r="Z288" i="1"/>
  <c r="X242" i="1"/>
  <c r="Z242" i="1"/>
  <c r="X340" i="1"/>
  <c r="Z340" i="1"/>
  <c r="X322" i="1"/>
  <c r="Z322" i="1"/>
  <c r="X305" i="1"/>
  <c r="Z305" i="1"/>
  <c r="X301" i="1"/>
  <c r="Z301" i="1"/>
  <c r="X306" i="1"/>
  <c r="Z306" i="1"/>
  <c r="X299" i="1"/>
  <c r="Z299" i="1"/>
  <c r="X287" i="1"/>
  <c r="Z287" i="1"/>
  <c r="X294" i="1"/>
  <c r="Z294" i="1"/>
  <c r="X293" i="1"/>
  <c r="Z293" i="1"/>
  <c r="X281" i="1"/>
  <c r="Z281" i="1"/>
  <c r="X270" i="1"/>
  <c r="Z270" i="1"/>
  <c r="X315" i="1"/>
  <c r="Z315" i="1"/>
  <c r="X275" i="1"/>
  <c r="Z275" i="1"/>
  <c r="X265" i="1"/>
  <c r="Z265" i="1"/>
  <c r="X16" i="1"/>
  <c r="Z16" i="1"/>
  <c r="X14" i="1"/>
  <c r="Z14" i="1"/>
  <c r="X15" i="1"/>
  <c r="Z15" i="1"/>
  <c r="X12" i="1"/>
  <c r="Z12" i="1"/>
  <c r="X17" i="1"/>
  <c r="Z17" i="1"/>
  <c r="X11" i="1"/>
  <c r="Z11" i="1"/>
  <c r="X13" i="1"/>
  <c r="Z13" i="1"/>
  <c r="X10" i="1"/>
  <c r="Z10" i="1"/>
  <c r="X164" i="1"/>
  <c r="Z164" i="1"/>
  <c r="X124" i="1"/>
  <c r="Z124" i="1"/>
  <c r="X167" i="1"/>
  <c r="Z167" i="1"/>
  <c r="X126" i="1"/>
  <c r="Z126" i="1"/>
  <c r="X2" i="1"/>
  <c r="Z2" i="1"/>
  <c r="X3" i="1"/>
  <c r="Z3" i="1"/>
  <c r="X122" i="1"/>
  <c r="X354" i="1"/>
  <c r="Z354" i="1"/>
  <c r="X198" i="1"/>
  <c r="Z198" i="1"/>
  <c r="X190" i="1"/>
  <c r="Z190" i="1"/>
  <c r="X272" i="1"/>
  <c r="Z272" i="1"/>
  <c r="X443" i="1"/>
  <c r="Z443" i="1"/>
  <c r="X451" i="1"/>
  <c r="Z451" i="1"/>
  <c r="X448" i="1"/>
  <c r="Z448" i="1"/>
  <c r="X526" i="1"/>
  <c r="Z526" i="1"/>
  <c r="X54" i="1"/>
  <c r="Z54" i="1"/>
  <c r="X53" i="1"/>
  <c r="Z53" i="1"/>
  <c r="X125" i="1"/>
  <c r="Z125" i="1"/>
  <c r="X157" i="1"/>
  <c r="Z157" i="1"/>
  <c r="X158" i="1"/>
  <c r="Z158" i="1"/>
  <c r="X55" i="1"/>
  <c r="Z55" i="1"/>
  <c r="X161" i="1"/>
  <c r="Z161" i="1"/>
  <c r="X163" i="1"/>
  <c r="Z163" i="1"/>
  <c r="X166" i="1"/>
  <c r="Z166" i="1"/>
  <c r="X128" i="1"/>
  <c r="Z128" i="1"/>
  <c r="X144" i="1"/>
  <c r="Z144" i="1"/>
  <c r="X139" i="1"/>
  <c r="Z139" i="1"/>
  <c r="X156" i="1"/>
  <c r="Z156" i="1"/>
  <c r="X142" i="1"/>
  <c r="Z142" i="1"/>
  <c r="X151" i="1"/>
  <c r="Z151" i="1"/>
  <c r="X45" i="1"/>
  <c r="Z45" i="1"/>
  <c r="X44" i="1"/>
  <c r="Z44" i="1"/>
  <c r="X9" i="1"/>
  <c r="Z9" i="1"/>
  <c r="X68" i="1"/>
  <c r="Z68" i="1"/>
  <c r="X48" i="1"/>
  <c r="Z48" i="1"/>
  <c r="X523" i="1"/>
  <c r="Z523" i="1"/>
  <c r="X522" i="1"/>
  <c r="Z522" i="1"/>
  <c r="X258" i="1"/>
  <c r="Z258" i="1"/>
  <c r="X175" i="1"/>
  <c r="Z175" i="1"/>
  <c r="X291" i="1"/>
  <c r="Z291" i="1"/>
  <c r="X235" i="1"/>
  <c r="Z235" i="1"/>
  <c r="X274" i="1"/>
  <c r="Z274" i="1"/>
  <c r="X184" i="1"/>
  <c r="Z184" i="1"/>
  <c r="X177" i="1"/>
  <c r="Z177" i="1"/>
  <c r="X455" i="1"/>
  <c r="Z455" i="1"/>
  <c r="X5" i="1"/>
  <c r="Z5" i="1"/>
  <c r="X22" i="1"/>
  <c r="Z22" i="1"/>
  <c r="X236" i="1"/>
  <c r="Z236" i="1"/>
  <c r="X521" i="1"/>
  <c r="Z521" i="1"/>
  <c r="X208" i="1"/>
  <c r="Z208" i="1"/>
  <c r="X210" i="1"/>
  <c r="Z210" i="1"/>
  <c r="X406" i="1"/>
  <c r="X404" i="1"/>
  <c r="Z404" i="1"/>
  <c r="X401" i="1"/>
  <c r="Z401" i="1"/>
  <c r="X399" i="1"/>
  <c r="Z399" i="1"/>
  <c r="X400" i="1"/>
  <c r="Z400" i="1"/>
  <c r="X43" i="1"/>
  <c r="Z43" i="1"/>
  <c r="X47" i="1"/>
  <c r="Z47" i="1"/>
  <c r="X51" i="1"/>
  <c r="Z51" i="1"/>
  <c r="X57" i="1"/>
  <c r="Z57" i="1"/>
  <c r="X245" i="1"/>
  <c r="Z245" i="1"/>
  <c r="X238" i="1"/>
  <c r="Z238" i="1"/>
  <c r="X247" i="1"/>
  <c r="Z247" i="1"/>
  <c r="X241" i="1"/>
  <c r="Z241" i="1"/>
  <c r="X257" i="1"/>
  <c r="Z257" i="1"/>
  <c r="X233" i="1"/>
  <c r="Z233" i="1"/>
  <c r="X240" i="1"/>
  <c r="Z240" i="1"/>
  <c r="X297" i="1"/>
  <c r="Z297" i="1"/>
  <c r="X250" i="1"/>
  <c r="Z250" i="1"/>
  <c r="X249" i="1"/>
  <c r="Z249" i="1"/>
  <c r="X219" i="1"/>
  <c r="Z219" i="1"/>
  <c r="X228" i="1"/>
  <c r="Z228" i="1"/>
  <c r="X152" i="1"/>
  <c r="Z152" i="1"/>
  <c r="X153" i="1"/>
  <c r="Z153" i="1"/>
  <c r="X145" i="1"/>
  <c r="Z145" i="1"/>
  <c r="X137" i="1"/>
  <c r="Z137" i="1"/>
  <c r="X141" i="1"/>
  <c r="Z141" i="1"/>
  <c r="X140" i="1"/>
  <c r="Z140" i="1"/>
  <c r="X65" i="1"/>
  <c r="Z65" i="1"/>
  <c r="X66" i="1"/>
  <c r="Z66" i="1"/>
  <c r="X64" i="1"/>
  <c r="Z64" i="1"/>
  <c r="X155" i="1"/>
  <c r="Z155" i="1"/>
  <c r="X58" i="1"/>
  <c r="Z58" i="1"/>
  <c r="X148" i="1"/>
  <c r="Z148" i="1"/>
  <c r="X136" i="1"/>
  <c r="Z136" i="1"/>
  <c r="X50" i="1"/>
  <c r="Z50" i="1"/>
  <c r="X143" i="1"/>
  <c r="Z143" i="1"/>
  <c r="X138" i="1"/>
  <c r="Z138" i="1"/>
  <c r="X130" i="1"/>
  <c r="Z130" i="1"/>
  <c r="X181" i="1"/>
  <c r="Z181" i="1"/>
  <c r="X179" i="1"/>
  <c r="Z179" i="1"/>
  <c r="X183" i="1"/>
  <c r="Z183" i="1"/>
  <c r="X180" i="1"/>
  <c r="Z180" i="1"/>
  <c r="X185" i="1"/>
  <c r="Z185" i="1"/>
  <c r="X251" i="1"/>
  <c r="Z251" i="1"/>
  <c r="X279" i="1"/>
  <c r="Z279" i="1"/>
  <c r="X262" i="1"/>
  <c r="Z262" i="1"/>
  <c r="X260" i="1"/>
  <c r="Z260" i="1"/>
  <c r="X246" i="1"/>
  <c r="Z246" i="1"/>
  <c r="X264" i="1"/>
  <c r="Z264" i="1"/>
  <c r="X254" i="1"/>
  <c r="Z254" i="1"/>
  <c r="X221" i="1"/>
  <c r="Z221" i="1"/>
  <c r="X414" i="1"/>
  <c r="Z414" i="1"/>
  <c r="X412" i="1"/>
  <c r="Z412" i="1"/>
  <c r="X46" i="1"/>
  <c r="Z46" i="1"/>
  <c r="X186" i="1"/>
  <c r="Z186" i="1"/>
  <c r="X525" i="1"/>
  <c r="Z525" i="1"/>
  <c r="X61" i="1"/>
  <c r="Z61" i="1"/>
  <c r="X188" i="1"/>
  <c r="Z188" i="1"/>
  <c r="X59" i="1"/>
  <c r="Z59" i="1"/>
  <c r="X524" i="1"/>
  <c r="Z524" i="1"/>
  <c r="X42" i="1"/>
  <c r="Z42" i="1"/>
  <c r="X519" i="1"/>
  <c r="Z519" i="1"/>
  <c r="X244" i="1"/>
  <c r="Z244" i="1"/>
  <c r="X182" i="1"/>
  <c r="Z182" i="1"/>
  <c r="X63" i="1"/>
  <c r="Z63" i="1"/>
  <c r="X253" i="1"/>
  <c r="Z253" i="1"/>
  <c r="X407" i="1"/>
  <c r="Z407" i="1"/>
  <c r="X442" i="1"/>
  <c r="Z442" i="1"/>
  <c r="X133" i="1"/>
  <c r="Z133" i="1"/>
  <c r="X243" i="1"/>
  <c r="Z243" i="1"/>
  <c r="X187" i="1"/>
  <c r="Z187" i="1"/>
  <c r="X446" i="1"/>
  <c r="Z446" i="1"/>
  <c r="X62" i="1"/>
  <c r="Z62" i="1"/>
  <c r="X520" i="1"/>
  <c r="Z520" i="1"/>
  <c r="X178" i="1"/>
  <c r="Z178" i="1"/>
  <c r="X261" i="1"/>
  <c r="Z261" i="1"/>
  <c r="X49" i="1"/>
  <c r="Z49" i="1"/>
  <c r="X147" i="1"/>
  <c r="Z147" i="1"/>
  <c r="X445" i="1"/>
  <c r="Z445" i="1"/>
  <c r="X447" i="1"/>
  <c r="Z447" i="1"/>
  <c r="X21" i="1"/>
  <c r="Z21" i="1"/>
  <c r="X4" i="1"/>
  <c r="Z4" i="1"/>
  <c r="X60" i="1"/>
  <c r="Z60" i="1"/>
  <c r="X23" i="1"/>
  <c r="Z23" i="1"/>
  <c r="X165" i="1"/>
  <c r="Z165" i="1"/>
  <c r="X162" i="1"/>
  <c r="Z162" i="1"/>
  <c r="X154" i="1"/>
  <c r="Z154" i="1"/>
  <c r="X256" i="1"/>
  <c r="Z256" i="1"/>
  <c r="X129" i="1"/>
  <c r="Z129" i="1"/>
  <c r="X146" i="1"/>
  <c r="Z146" i="1"/>
  <c r="X160" i="1"/>
  <c r="Z160" i="1"/>
  <c r="X132" i="1"/>
  <c r="Z132" i="1"/>
  <c r="X444" i="1"/>
  <c r="Z444" i="1"/>
  <c r="X131" i="1"/>
  <c r="Z131" i="1"/>
  <c r="X410" i="1"/>
  <c r="Z410" i="1"/>
  <c r="X172" i="1"/>
  <c r="Z172" i="1"/>
  <c r="X171" i="1"/>
  <c r="Z171" i="1"/>
  <c r="X173" i="1"/>
  <c r="Z173" i="1"/>
  <c r="X174" i="1"/>
  <c r="Z174" i="1"/>
  <c r="X135" i="1"/>
  <c r="Z135" i="1"/>
  <c r="X304" i="1"/>
  <c r="Z304" i="1"/>
  <c r="X127" i="1"/>
  <c r="Z127" i="1"/>
  <c r="X134" i="1"/>
  <c r="Z134" i="1"/>
  <c r="X460" i="1"/>
  <c r="Z460" i="1"/>
  <c r="X452" i="1"/>
  <c r="Z452" i="1"/>
  <c r="X458" i="1"/>
  <c r="Z458" i="1"/>
  <c r="X450" i="1"/>
  <c r="Z450" i="1"/>
  <c r="X170" i="1"/>
  <c r="Z170" i="1"/>
  <c r="X67" i="1"/>
  <c r="Z67" i="1"/>
  <c r="X231" i="1"/>
  <c r="Z231" i="1"/>
  <c r="X214" i="1"/>
  <c r="Z214" i="1"/>
  <c r="X176" i="1"/>
  <c r="Z176" i="1"/>
  <c r="X159" i="1"/>
  <c r="Z159" i="1"/>
  <c r="X413" i="1"/>
  <c r="Z413" i="1"/>
  <c r="X411" i="1"/>
  <c r="Z411" i="1"/>
  <c r="X527" i="1"/>
  <c r="Z527" i="1"/>
  <c r="X461" i="1"/>
  <c r="Z461" i="1"/>
  <c r="X459" i="1"/>
  <c r="Z459" i="1"/>
  <c r="X24" i="1"/>
  <c r="Z24" i="1"/>
  <c r="X454" i="1"/>
  <c r="Z454" i="1"/>
  <c r="X69" i="1"/>
  <c r="Z69" i="1"/>
  <c r="X453" i="1"/>
  <c r="Z453" i="1"/>
  <c r="X457" i="1"/>
  <c r="Z457" i="1"/>
  <c r="X456" i="1"/>
  <c r="Z456" i="1"/>
  <c r="X56" i="1"/>
  <c r="Z56" i="1"/>
  <c r="X52" i="1"/>
  <c r="Z52" i="1"/>
  <c r="X615" i="1"/>
  <c r="Z615" i="1"/>
  <c r="X616" i="1"/>
  <c r="Z616" i="1"/>
  <c r="X614" i="1"/>
  <c r="Z614" i="1"/>
  <c r="X612" i="1"/>
  <c r="Z612" i="1"/>
  <c r="X613" i="1"/>
  <c r="Z613" i="1"/>
  <c r="X168" i="1"/>
  <c r="X123" i="1"/>
  <c r="X149" i="1"/>
  <c r="Z149" i="1"/>
  <c r="X150" i="1"/>
  <c r="Z150" i="1"/>
  <c r="X121" i="1"/>
  <c r="Z121" i="1"/>
  <c r="X120" i="1"/>
  <c r="Z120" i="1"/>
  <c r="X119" i="1"/>
  <c r="Z119" i="1"/>
  <c r="X118" i="1"/>
  <c r="Z118" i="1"/>
  <c r="X117" i="1"/>
  <c r="Z117" i="1"/>
  <c r="X116" i="1"/>
  <c r="Z116" i="1"/>
  <c r="X115" i="1"/>
  <c r="Z115" i="1"/>
  <c r="X114" i="1"/>
  <c r="Z114" i="1"/>
  <c r="X113" i="1"/>
  <c r="Z113" i="1"/>
  <c r="X112" i="1"/>
  <c r="Z112" i="1"/>
  <c r="X111" i="1"/>
  <c r="Z111" i="1"/>
  <c r="X110" i="1"/>
  <c r="Z110" i="1"/>
  <c r="X109" i="1"/>
  <c r="Z109" i="1"/>
  <c r="X108" i="1"/>
  <c r="Z108" i="1"/>
  <c r="X107" i="1"/>
  <c r="Z107" i="1"/>
  <c r="X106" i="1"/>
  <c r="Z106" i="1"/>
  <c r="X105" i="1"/>
  <c r="Z105" i="1"/>
  <c r="X104" i="1"/>
  <c r="Z104" i="1"/>
  <c r="X199" i="1"/>
  <c r="Z199" i="1"/>
  <c r="X200" i="1"/>
  <c r="Z200" i="1"/>
  <c r="X396" i="1"/>
  <c r="Z396" i="1"/>
  <c r="X409" i="1"/>
  <c r="Z409" i="1"/>
  <c r="X20" i="1"/>
  <c r="Z20" i="1"/>
  <c r="X18" i="1"/>
  <c r="Z18" i="1"/>
  <c r="X395" i="1"/>
  <c r="Z395" i="1"/>
  <c r="X398" i="1"/>
  <c r="Z398" i="1"/>
  <c r="X397" i="1"/>
  <c r="Z397" i="1"/>
  <c r="X6" i="1"/>
  <c r="Z6" i="1"/>
  <c r="X7" i="1"/>
  <c r="Z7" i="1"/>
  <c r="X8" i="1"/>
  <c r="Z8" i="1"/>
  <c r="X25" i="1"/>
  <c r="Z25" i="1"/>
  <c r="X403" i="1"/>
  <c r="Z403" i="1"/>
  <c r="X207" i="1"/>
  <c r="Z207" i="1"/>
  <c r="X211" i="1"/>
  <c r="Z211" i="1"/>
  <c r="X402" i="1"/>
  <c r="Z402" i="1"/>
  <c r="X405" i="1"/>
  <c r="Z405" i="1"/>
  <c r="X216" i="1"/>
  <c r="Z216" i="1"/>
  <c r="X195" i="1"/>
  <c r="Z195" i="1"/>
  <c r="X226" i="1"/>
  <c r="Z226" i="1"/>
  <c r="X225" i="1"/>
  <c r="Z225" i="1"/>
  <c r="X333" i="1"/>
  <c r="Z333" i="1"/>
  <c r="X212" i="1"/>
  <c r="Z212" i="1"/>
  <c r="X227" i="1"/>
  <c r="Z227" i="1"/>
  <c r="X217" i="1"/>
  <c r="Z217" i="1"/>
  <c r="X213" i="1"/>
  <c r="Z213" i="1"/>
  <c r="X30" i="1"/>
  <c r="Z30" i="1"/>
  <c r="X35" i="1"/>
  <c r="Z35" i="1"/>
  <c r="X32" i="1"/>
  <c r="Z32" i="1"/>
  <c r="X37" i="1"/>
  <c r="Z37" i="1"/>
  <c r="X34" i="1"/>
  <c r="Z34" i="1"/>
  <c r="X31" i="1"/>
  <c r="Z31" i="1"/>
  <c r="X28" i="1"/>
  <c r="Z28" i="1"/>
  <c r="X40" i="1"/>
  <c r="Z40" i="1"/>
  <c r="X36" i="1"/>
  <c r="Z36" i="1"/>
  <c r="X27" i="1"/>
  <c r="Z27" i="1"/>
  <c r="X39" i="1"/>
  <c r="Z39" i="1"/>
  <c r="X38" i="1"/>
  <c r="Z38" i="1"/>
  <c r="X26" i="1"/>
  <c r="Z26" i="1"/>
  <c r="X41" i="1"/>
  <c r="Z41" i="1"/>
  <c r="X33" i="1"/>
  <c r="Z33" i="1"/>
  <c r="X29" i="1"/>
  <c r="Z29" i="1"/>
  <c r="X489" i="1"/>
  <c r="Z489" i="1"/>
  <c r="X490" i="1"/>
  <c r="Z490" i="1"/>
  <c r="X494" i="1"/>
  <c r="Z494" i="1"/>
  <c r="X491" i="1"/>
  <c r="Z491" i="1"/>
  <c r="X493" i="1"/>
  <c r="Z493" i="1"/>
  <c r="X492" i="1"/>
  <c r="Z492" i="1"/>
  <c r="X500" i="1"/>
  <c r="Z500" i="1"/>
  <c r="X498" i="1"/>
  <c r="Z498" i="1"/>
  <c r="X496" i="1"/>
  <c r="Z496" i="1"/>
  <c r="X499" i="1"/>
  <c r="Z499" i="1"/>
  <c r="X495" i="1"/>
  <c r="Z495" i="1"/>
  <c r="X497" i="1"/>
  <c r="Z497" i="1"/>
  <c r="X505" i="1"/>
  <c r="Z505" i="1"/>
  <c r="X508" i="1"/>
  <c r="Z508" i="1"/>
  <c r="X506" i="1"/>
  <c r="Z506" i="1"/>
  <c r="X504" i="1"/>
  <c r="Z504" i="1"/>
  <c r="X503" i="1"/>
  <c r="Z503" i="1"/>
  <c r="X501" i="1"/>
  <c r="Z501" i="1"/>
  <c r="X507" i="1"/>
  <c r="Z507" i="1"/>
  <c r="X510" i="1"/>
  <c r="Z510" i="1"/>
  <c r="X511" i="1"/>
  <c r="Z511" i="1"/>
  <c r="X502" i="1"/>
  <c r="Z502" i="1"/>
  <c r="X509" i="1"/>
  <c r="Z509" i="1"/>
  <c r="X478" i="1"/>
  <c r="Z478" i="1"/>
  <c r="X486" i="1"/>
  <c r="Z486" i="1"/>
  <c r="X480" i="1"/>
  <c r="Z480" i="1"/>
  <c r="X481" i="1"/>
  <c r="Z481" i="1"/>
  <c r="X482" i="1"/>
  <c r="Z482" i="1"/>
  <c r="X479" i="1"/>
  <c r="Z479" i="1"/>
  <c r="X483" i="1"/>
  <c r="Z483" i="1"/>
  <c r="X485" i="1"/>
  <c r="Z485" i="1"/>
  <c r="X488" i="1"/>
  <c r="Z488" i="1"/>
  <c r="X487" i="1"/>
  <c r="Z487" i="1"/>
  <c r="X484" i="1"/>
  <c r="Z484" i="1"/>
  <c r="X474" i="1"/>
  <c r="Z474" i="1"/>
  <c r="X473" i="1"/>
  <c r="Z473" i="1"/>
  <c r="X470" i="1"/>
  <c r="Z470" i="1"/>
  <c r="X469" i="1"/>
  <c r="Z469" i="1"/>
  <c r="X467" i="1"/>
  <c r="Z467" i="1"/>
  <c r="X468" i="1"/>
  <c r="Z468" i="1"/>
  <c r="X472" i="1"/>
  <c r="Z472" i="1"/>
  <c r="X471" i="1"/>
  <c r="Z471" i="1"/>
  <c r="X475" i="1"/>
  <c r="Z475" i="1"/>
  <c r="X477" i="1"/>
  <c r="Z477" i="1"/>
  <c r="X476" i="1"/>
  <c r="Z476" i="1"/>
  <c r="X439" i="1"/>
  <c r="X463" i="1"/>
  <c r="X462" i="1"/>
  <c r="X464" i="1"/>
  <c r="X466" i="1"/>
  <c r="X465" i="1"/>
  <c r="X19" i="1"/>
  <c r="Z19" i="1"/>
  <c r="X193" i="1"/>
  <c r="Z193" i="1"/>
  <c r="X194" i="1"/>
  <c r="Z194" i="1"/>
  <c r="X512" i="1"/>
  <c r="Z512" i="1"/>
  <c r="X513" i="1"/>
  <c r="Z513" i="1"/>
  <c r="X578" i="1"/>
  <c r="Z578" i="1"/>
  <c r="X514" i="1"/>
  <c r="Z514" i="1"/>
  <c r="X381" i="1"/>
  <c r="Z381" i="1"/>
  <c r="X383" i="1"/>
  <c r="Z383" i="1"/>
  <c r="X376" i="1"/>
  <c r="Z376" i="1"/>
  <c r="X362" i="1"/>
  <c r="Z362" i="1"/>
  <c r="X296" i="1"/>
  <c r="Z296" i="1"/>
  <c r="X371" i="1"/>
  <c r="Z371" i="1"/>
  <c r="X310" i="1"/>
  <c r="Z310" i="1"/>
  <c r="X372" i="1"/>
  <c r="Z372" i="1"/>
  <c r="X358" i="1"/>
  <c r="Z358" i="1"/>
  <c r="X224" i="1"/>
  <c r="Z224" i="1"/>
  <c r="X380" i="1"/>
  <c r="Z380" i="1"/>
  <c r="X370" i="1"/>
  <c r="Z370" i="1"/>
  <c r="X336" i="1"/>
  <c r="Z336" i="1"/>
  <c r="X278" i="1"/>
  <c r="Z278" i="1"/>
  <c r="X355" i="1"/>
  <c r="Z355" i="1"/>
  <c r="X359" i="1"/>
  <c r="Z359" i="1"/>
  <c r="X295" i="1"/>
  <c r="Z295" i="1"/>
  <c r="X103" i="1"/>
  <c r="Z103" i="1"/>
  <c r="X102" i="1"/>
  <c r="Z102" i="1"/>
  <c r="X101" i="1"/>
  <c r="Z101" i="1"/>
  <c r="X100" i="1"/>
  <c r="Z100" i="1"/>
  <c r="X99" i="1"/>
  <c r="Z99" i="1"/>
  <c r="X98" i="1"/>
  <c r="Z98" i="1"/>
  <c r="X97" i="1"/>
  <c r="Z97" i="1"/>
  <c r="X96" i="1"/>
  <c r="Z96" i="1"/>
  <c r="X95" i="1"/>
  <c r="Z95" i="1"/>
  <c r="X94" i="1"/>
  <c r="Z94" i="1"/>
  <c r="X93" i="1"/>
  <c r="Z93" i="1"/>
  <c r="X92" i="1"/>
  <c r="Z92" i="1"/>
  <c r="X91" i="1"/>
  <c r="Z91" i="1"/>
  <c r="X90" i="1"/>
  <c r="Z90" i="1"/>
  <c r="X89" i="1"/>
  <c r="Z89" i="1"/>
  <c r="X88" i="1"/>
  <c r="Z88" i="1"/>
  <c r="X87" i="1"/>
  <c r="Z87" i="1"/>
  <c r="X86" i="1"/>
  <c r="Z86" i="1"/>
  <c r="X85" i="1"/>
  <c r="Z85" i="1"/>
  <c r="X84" i="1"/>
  <c r="Z84" i="1"/>
  <c r="X83" i="1"/>
  <c r="Z83" i="1"/>
  <c r="X82" i="1"/>
  <c r="Z82" i="1"/>
  <c r="X81" i="1"/>
  <c r="Z81" i="1"/>
  <c r="X80" i="1"/>
  <c r="Z80" i="1"/>
  <c r="X79" i="1"/>
  <c r="Z79" i="1"/>
  <c r="X78" i="1"/>
  <c r="Z78" i="1"/>
  <c r="X77" i="1"/>
  <c r="Z77" i="1"/>
  <c r="X76" i="1"/>
  <c r="Z76" i="1"/>
  <c r="X75" i="1"/>
  <c r="Z75" i="1"/>
  <c r="X74" i="1"/>
  <c r="Z74" i="1"/>
  <c r="X73" i="1"/>
  <c r="Z73" i="1"/>
  <c r="X72" i="1"/>
  <c r="Z72" i="1"/>
  <c r="X71" i="1"/>
  <c r="Z71" i="1"/>
  <c r="X70" i="1"/>
  <c r="Z70" i="1"/>
  <c r="X206" i="1"/>
  <c r="X384" i="1"/>
  <c r="X346" i="1"/>
  <c r="Z346" i="1"/>
  <c r="X379" i="1"/>
  <c r="Z379" i="1"/>
  <c r="X259" i="1"/>
  <c r="Z259" i="1"/>
  <c r="X365" i="1"/>
  <c r="Z365" i="1"/>
  <c r="X375" i="1"/>
  <c r="Z375" i="1"/>
  <c r="X277" i="1"/>
  <c r="Z277" i="1"/>
  <c r="X385" i="1"/>
  <c r="X389" i="1"/>
  <c r="X386" i="1"/>
  <c r="X393" i="1"/>
  <c r="X392" i="1"/>
  <c r="X387" i="1"/>
  <c r="X390" i="1"/>
  <c r="X391" i="1"/>
  <c r="X388" i="1"/>
  <c r="X203" i="1"/>
  <c r="X201" i="1"/>
  <c r="X205" i="1"/>
  <c r="X204" i="1"/>
  <c r="X202" i="1"/>
  <c r="X196" i="1"/>
  <c r="Z196" i="1"/>
  <c r="X197" i="1"/>
  <c r="Z197" i="1"/>
  <c r="X192" i="1"/>
  <c r="Z192" i="1"/>
  <c r="X191" i="1"/>
  <c r="Z191" i="1"/>
  <c r="X189" i="1"/>
  <c r="Z189" i="1"/>
  <c r="AG6" i="9"/>
  <c r="AG5" i="9"/>
  <c r="AG4" i="9"/>
  <c r="AG3" i="9"/>
  <c r="AF6" i="9"/>
  <c r="AF5" i="9"/>
  <c r="AF4" i="9"/>
  <c r="AF3" i="9"/>
  <c r="AE6" i="9"/>
  <c r="AE5" i="9"/>
  <c r="AE4" i="9"/>
  <c r="AE3" i="9"/>
  <c r="AD6" i="9"/>
  <c r="AD5" i="9"/>
  <c r="AD4" i="9"/>
  <c r="AD3" i="9"/>
  <c r="AC6" i="9"/>
  <c r="AC5" i="9"/>
  <c r="AC4" i="9"/>
  <c r="AC3" i="9"/>
  <c r="AB6" i="9"/>
  <c r="AB5" i="9"/>
  <c r="AB4" i="9"/>
  <c r="AB3" i="9"/>
  <c r="AA6" i="9"/>
  <c r="AA5" i="9"/>
  <c r="AA4" i="9"/>
  <c r="AA3" i="9"/>
  <c r="X72" i="9"/>
  <c r="Z72" i="9"/>
  <c r="X70" i="9"/>
  <c r="Z70" i="9"/>
  <c r="X64" i="9"/>
  <c r="Z64" i="9"/>
  <c r="X63" i="9"/>
  <c r="Z63" i="9"/>
  <c r="X62" i="9"/>
  <c r="Z62" i="9"/>
  <c r="X61" i="9"/>
  <c r="Z61" i="9"/>
  <c r="X60" i="9"/>
  <c r="Z60" i="9"/>
  <c r="X59" i="9"/>
  <c r="Z59" i="9"/>
  <c r="X58" i="9"/>
  <c r="Z58" i="9"/>
  <c r="X57" i="9"/>
  <c r="Z57" i="9"/>
  <c r="X56" i="9"/>
  <c r="Z56" i="9"/>
  <c r="X55" i="9"/>
  <c r="Z55" i="9"/>
  <c r="X54" i="9"/>
  <c r="Z54" i="9"/>
  <c r="X53" i="9"/>
  <c r="Z53" i="9"/>
  <c r="X52" i="9"/>
  <c r="Z52" i="9"/>
  <c r="X51" i="9"/>
  <c r="Z51" i="9"/>
  <c r="X50" i="9"/>
  <c r="Z50" i="9"/>
  <c r="X49" i="9"/>
  <c r="Z49" i="9"/>
  <c r="X48" i="9"/>
  <c r="Z48" i="9"/>
  <c r="X47" i="9"/>
  <c r="Z47" i="9"/>
  <c r="X46" i="9"/>
  <c r="Z46" i="9"/>
  <c r="X45" i="9"/>
  <c r="Z45" i="9"/>
  <c r="X44" i="9"/>
  <c r="Z44" i="9"/>
  <c r="X43" i="9"/>
  <c r="Z43" i="9"/>
  <c r="X42" i="9"/>
  <c r="Z42" i="9"/>
  <c r="X41" i="9"/>
  <c r="Z41" i="9"/>
  <c r="X29" i="9"/>
  <c r="Z29" i="9"/>
  <c r="X28" i="9"/>
  <c r="Z28" i="9"/>
  <c r="X27" i="9"/>
  <c r="Z27" i="9"/>
  <c r="X26" i="9"/>
  <c r="Z26" i="9"/>
  <c r="X25" i="9"/>
  <c r="Z25" i="9"/>
  <c r="X24" i="9"/>
  <c r="Z24" i="9"/>
  <c r="X23" i="9"/>
  <c r="Z23" i="9"/>
  <c r="X22" i="9"/>
  <c r="Z22" i="9"/>
  <c r="X21" i="9"/>
  <c r="Z21" i="9"/>
  <c r="X20" i="9"/>
  <c r="Z20" i="9"/>
  <c r="X19" i="9"/>
  <c r="Z19" i="9"/>
  <c r="X18" i="9"/>
  <c r="Z18" i="9"/>
  <c r="X13" i="9"/>
  <c r="Z13" i="9"/>
  <c r="X12" i="9"/>
  <c r="Z12" i="9"/>
  <c r="X11" i="9"/>
  <c r="Z11" i="9"/>
  <c r="X10" i="9"/>
  <c r="Z10" i="9"/>
  <c r="X9" i="9"/>
  <c r="Z9" i="9"/>
  <c r="X8" i="9"/>
  <c r="Z8" i="9"/>
  <c r="X7" i="9"/>
  <c r="Z7" i="9"/>
  <c r="X6" i="9"/>
  <c r="Z6" i="9"/>
  <c r="X5" i="9"/>
  <c r="Z5" i="9"/>
  <c r="X4" i="9"/>
  <c r="Z4" i="9"/>
  <c r="X3" i="9"/>
  <c r="Z3" i="9"/>
  <c r="X37" i="9"/>
  <c r="X36" i="9"/>
  <c r="X35" i="9"/>
  <c r="X16" i="9"/>
  <c r="X2" i="9"/>
  <c r="R82" i="9"/>
  <c r="X82" i="9"/>
  <c r="Z82" i="9"/>
  <c r="Y82" i="9"/>
  <c r="X85" i="9"/>
  <c r="Z85" i="9"/>
  <c r="X92" i="9"/>
  <c r="Z92" i="9"/>
  <c r="X69" i="9"/>
  <c r="Z69" i="9"/>
  <c r="X77" i="9"/>
  <c r="Z77" i="9"/>
  <c r="X65" i="9"/>
  <c r="Z65" i="9"/>
  <c r="X76" i="9"/>
  <c r="Z76" i="9"/>
  <c r="X15" i="9"/>
  <c r="Z15" i="9"/>
  <c r="X75" i="9"/>
  <c r="Z75" i="9"/>
  <c r="X93" i="9"/>
  <c r="Z93" i="9"/>
  <c r="Y93" i="9"/>
  <c r="X91" i="9"/>
  <c r="Z91" i="9"/>
  <c r="Y91" i="9"/>
  <c r="X87" i="9"/>
  <c r="Z87" i="9"/>
  <c r="Y87" i="9"/>
  <c r="X34" i="9"/>
  <c r="Z34" i="9"/>
  <c r="X74" i="9"/>
  <c r="Z74" i="9"/>
  <c r="X33" i="9"/>
  <c r="Z33" i="9"/>
  <c r="X73" i="9"/>
  <c r="Z73" i="9"/>
  <c r="U39" i="9"/>
  <c r="X39" i="9"/>
  <c r="Z39" i="9"/>
  <c r="V39" i="9"/>
  <c r="Y39" i="9"/>
  <c r="X79" i="9"/>
  <c r="Z79" i="9"/>
  <c r="X68" i="9"/>
  <c r="Z68" i="9"/>
  <c r="X86" i="9"/>
  <c r="Z86" i="9"/>
  <c r="Y86" i="9"/>
  <c r="X81" i="9"/>
  <c r="Z81" i="9"/>
  <c r="X95" i="9"/>
  <c r="Z95" i="9"/>
  <c r="Y95" i="9"/>
  <c r="X94" i="9"/>
  <c r="Z94" i="9"/>
  <c r="Y94" i="9"/>
  <c r="X80" i="9"/>
  <c r="Z80" i="9"/>
  <c r="U32" i="9"/>
  <c r="X32" i="9"/>
  <c r="Z32" i="9"/>
  <c r="V32" i="9"/>
  <c r="Y32" i="9"/>
  <c r="X31" i="9"/>
  <c r="Z31" i="9"/>
  <c r="X14" i="9"/>
  <c r="Z14" i="9"/>
  <c r="X90" i="9"/>
  <c r="Z90" i="9"/>
  <c r="Y90" i="9"/>
  <c r="X67" i="9"/>
  <c r="Z67" i="9"/>
  <c r="X78" i="9"/>
  <c r="Z78" i="9"/>
  <c r="X71" i="9"/>
  <c r="Z71" i="9"/>
  <c r="U30" i="9"/>
  <c r="X30" i="9"/>
  <c r="Z30" i="9"/>
  <c r="V30" i="9"/>
  <c r="Y30" i="9"/>
  <c r="X17" i="9"/>
  <c r="X66" i="9"/>
  <c r="Z66" i="9"/>
  <c r="U89" i="9"/>
  <c r="X89" i="9"/>
  <c r="Z89" i="9"/>
  <c r="V89" i="9"/>
  <c r="Y89" i="9"/>
  <c r="X84" i="9"/>
  <c r="Z84" i="9"/>
  <c r="U88" i="9"/>
  <c r="X88" i="9"/>
  <c r="Z88" i="9"/>
  <c r="W88" i="9"/>
  <c r="Y88" i="9"/>
  <c r="R83" i="9"/>
  <c r="X83" i="9"/>
  <c r="Z83" i="9"/>
  <c r="Y83" i="9"/>
  <c r="U40" i="9"/>
  <c r="X40" i="9"/>
  <c r="Z40" i="9"/>
  <c r="W40" i="9"/>
  <c r="Y40" i="9"/>
  <c r="U38" i="9"/>
  <c r="X38" i="9"/>
  <c r="Z38" i="9"/>
  <c r="W38" i="9"/>
  <c r="Y38" i="9"/>
  <c r="W461" i="2"/>
  <c r="Y461" i="2"/>
  <c r="W462" i="2"/>
  <c r="Y462" i="2"/>
  <c r="Y463" i="2"/>
  <c r="W464" i="2"/>
  <c r="Y464" i="2"/>
  <c r="V466" i="2"/>
  <c r="Y466" i="2"/>
  <c r="AG464" i="2"/>
  <c r="V469" i="2"/>
  <c r="Y469" i="2"/>
  <c r="Y473" i="2"/>
  <c r="V476" i="2"/>
  <c r="Y476" i="2"/>
  <c r="Y478" i="2"/>
  <c r="Y479" i="2"/>
  <c r="Y481" i="2"/>
  <c r="V484" i="2"/>
  <c r="Y484" i="2"/>
  <c r="Y489" i="2"/>
  <c r="Y490" i="2"/>
  <c r="Y491" i="2"/>
  <c r="Y500" i="2"/>
  <c r="AG463" i="2"/>
  <c r="AF464" i="2"/>
  <c r="AF463" i="2"/>
  <c r="AE464" i="2"/>
  <c r="AE463" i="2"/>
  <c r="AD464" i="2"/>
  <c r="AD463" i="2"/>
  <c r="AC464" i="2"/>
  <c r="AC463" i="2"/>
  <c r="AB464" i="2"/>
  <c r="AB463" i="2"/>
  <c r="Y430" i="2"/>
  <c r="AG424" i="2"/>
  <c r="Y421" i="2"/>
  <c r="AG423" i="2"/>
  <c r="AF424" i="2"/>
  <c r="AF423" i="2"/>
  <c r="AE424" i="2"/>
  <c r="AE423" i="2"/>
  <c r="AD424" i="2"/>
  <c r="AD423" i="2"/>
  <c r="AC424" i="2"/>
  <c r="AC423" i="2"/>
  <c r="AB424" i="2"/>
  <c r="AB423" i="2"/>
  <c r="Y419" i="2"/>
  <c r="Y420" i="2"/>
  <c r="AG416" i="2"/>
  <c r="AF416" i="2"/>
  <c r="AE416" i="2"/>
  <c r="AD416" i="2"/>
  <c r="AC416" i="2"/>
  <c r="AB416" i="2"/>
  <c r="X12" i="8"/>
  <c r="Z12" i="8"/>
  <c r="X13" i="8"/>
  <c r="Z13" i="8"/>
  <c r="R3" i="8"/>
  <c r="X3" i="8"/>
  <c r="Z3" i="8"/>
  <c r="X6" i="8"/>
  <c r="Z6" i="8"/>
  <c r="X36" i="8"/>
  <c r="Z36" i="8"/>
  <c r="X35" i="8"/>
  <c r="Z35" i="8"/>
  <c r="X37" i="8"/>
  <c r="Z37" i="8"/>
  <c r="X38" i="8"/>
  <c r="Z38" i="8"/>
  <c r="X39" i="8"/>
  <c r="Z39" i="8"/>
  <c r="X29" i="8"/>
  <c r="Z29" i="8"/>
  <c r="X40" i="8"/>
  <c r="Z40" i="8"/>
  <c r="X14" i="8"/>
  <c r="Z14" i="8"/>
  <c r="R9" i="8"/>
  <c r="X9" i="8"/>
  <c r="Z9" i="8"/>
  <c r="Y9" i="8"/>
  <c r="X41" i="8"/>
  <c r="Z41" i="8"/>
  <c r="X15" i="8"/>
  <c r="Z15" i="8"/>
  <c r="X42" i="8"/>
  <c r="Z42" i="8"/>
  <c r="X43" i="8"/>
  <c r="Z43" i="8"/>
  <c r="X17" i="8"/>
  <c r="Z17" i="8"/>
  <c r="X16" i="8"/>
  <c r="Z16" i="8"/>
  <c r="X47" i="8"/>
  <c r="Z47" i="8"/>
  <c r="X46" i="8"/>
  <c r="Z46" i="8"/>
  <c r="X45" i="8"/>
  <c r="Z45" i="8"/>
  <c r="X44" i="8"/>
  <c r="Z44" i="8"/>
  <c r="X18" i="8"/>
  <c r="Z18" i="8"/>
  <c r="X48" i="8"/>
  <c r="Z48" i="8"/>
  <c r="X49" i="8"/>
  <c r="Z49" i="8"/>
  <c r="R4" i="8"/>
  <c r="X4" i="8"/>
  <c r="Z4" i="8"/>
  <c r="R10" i="8"/>
  <c r="X10" i="8"/>
  <c r="Z10" i="8"/>
  <c r="Y10" i="8"/>
  <c r="X20" i="8"/>
  <c r="Z20" i="8"/>
  <c r="X19" i="8"/>
  <c r="Z19" i="8"/>
  <c r="X7" i="8"/>
  <c r="Z7" i="8"/>
  <c r="X50" i="8"/>
  <c r="Z50" i="8"/>
  <c r="X21" i="8"/>
  <c r="Z21" i="8"/>
  <c r="X51" i="8"/>
  <c r="Z51" i="8"/>
  <c r="X22" i="8"/>
  <c r="Z22" i="8"/>
  <c r="X52" i="8"/>
  <c r="Z52" i="8"/>
  <c r="X23" i="8"/>
  <c r="Z23" i="8"/>
  <c r="X8" i="8"/>
  <c r="Z8" i="8"/>
  <c r="R5" i="8"/>
  <c r="X5" i="8"/>
  <c r="Z5" i="8"/>
  <c r="R2" i="8"/>
  <c r="X2" i="8"/>
  <c r="Z2" i="8"/>
  <c r="X30" i="8"/>
  <c r="Z30" i="8"/>
  <c r="X25" i="8"/>
  <c r="Z25" i="8"/>
  <c r="X24" i="8"/>
  <c r="Z24" i="8"/>
  <c r="X11" i="8"/>
  <c r="Z11" i="8"/>
  <c r="X27" i="8"/>
  <c r="Z27" i="8"/>
  <c r="X26" i="8"/>
  <c r="Z26" i="8"/>
  <c r="X31" i="8"/>
  <c r="Z31" i="8"/>
  <c r="X53" i="8"/>
  <c r="Z53" i="8"/>
  <c r="X32" i="8"/>
  <c r="Z32" i="8"/>
  <c r="X54" i="8"/>
  <c r="Z54" i="8"/>
  <c r="X28" i="8"/>
  <c r="Z28" i="8"/>
  <c r="X33" i="8"/>
  <c r="Z33" i="8"/>
  <c r="X235" i="2"/>
  <c r="AG183" i="2"/>
  <c r="AF183" i="2"/>
  <c r="AE183" i="2"/>
  <c r="AD183" i="2"/>
  <c r="AC183" i="2"/>
  <c r="X117" i="2"/>
  <c r="AB45" i="2"/>
  <c r="AG24" i="2"/>
  <c r="AE24" i="2"/>
  <c r="AD24" i="2"/>
  <c r="AG23" i="2"/>
  <c r="AE23" i="2"/>
  <c r="AD23" i="2"/>
  <c r="AB24" i="2"/>
  <c r="AB23" i="2"/>
  <c r="AG5" i="2"/>
  <c r="AF5" i="2"/>
  <c r="AE5" i="2"/>
  <c r="AD5" i="2"/>
  <c r="AC5" i="2"/>
  <c r="AG4" i="2"/>
  <c r="AF4" i="2"/>
  <c r="AE4" i="2"/>
  <c r="AD4" i="2"/>
  <c r="AC4" i="2"/>
  <c r="AB5" i="2"/>
  <c r="AB4" i="2"/>
  <c r="R387" i="2"/>
  <c r="R463" i="2"/>
  <c r="R336" i="2"/>
  <c r="R351" i="2"/>
  <c r="R430" i="2"/>
  <c r="R238" i="2"/>
  <c r="R500" i="2"/>
  <c r="R237" i="2"/>
  <c r="R242" i="2"/>
  <c r="R421" i="2"/>
  <c r="R324" i="2"/>
  <c r="R338" i="2"/>
  <c r="R256" i="2"/>
  <c r="R305" i="2"/>
  <c r="R412" i="2"/>
  <c r="R414" i="2"/>
  <c r="R403" i="2"/>
  <c r="R390" i="2"/>
  <c r="R400" i="2"/>
  <c r="R393" i="2"/>
  <c r="R386" i="2"/>
  <c r="R411" i="2"/>
  <c r="R401" i="2"/>
  <c r="R363" i="2"/>
  <c r="R381" i="2"/>
  <c r="R385" i="2"/>
  <c r="R322" i="2"/>
  <c r="X280" i="2"/>
  <c r="Z280" i="2"/>
  <c r="X291" i="2"/>
  <c r="Z291" i="2"/>
  <c r="X313" i="2"/>
  <c r="Z313" i="2"/>
  <c r="X318" i="2"/>
  <c r="Z318" i="2"/>
  <c r="X308" i="2"/>
  <c r="Z308" i="2"/>
  <c r="X298" i="2"/>
  <c r="Z298" i="2"/>
  <c r="X311" i="2"/>
  <c r="Z311" i="2"/>
  <c r="X355" i="2"/>
  <c r="Z355" i="2"/>
  <c r="X296" i="2"/>
  <c r="Z296" i="2"/>
  <c r="X293" i="2"/>
  <c r="Z293" i="2"/>
  <c r="X353" i="2"/>
  <c r="Z353" i="2"/>
  <c r="X343" i="2"/>
  <c r="Z343" i="2"/>
  <c r="X344" i="2"/>
  <c r="Z344" i="2"/>
  <c r="X276" i="2"/>
  <c r="Z276" i="2"/>
  <c r="X329" i="2"/>
  <c r="Z329" i="2"/>
  <c r="X350" i="2"/>
  <c r="Z350" i="2"/>
  <c r="X342" i="2"/>
  <c r="Z342" i="2"/>
  <c r="X312" i="2"/>
  <c r="Z312" i="2"/>
  <c r="X295" i="2"/>
  <c r="Z295" i="2"/>
  <c r="X356" i="2"/>
  <c r="Z356" i="2"/>
  <c r="X327" i="2"/>
  <c r="Z327" i="2"/>
  <c r="X330" i="2"/>
  <c r="Z330" i="2"/>
  <c r="X357" i="2"/>
  <c r="Z357" i="2"/>
  <c r="X359" i="2"/>
  <c r="Z359" i="2"/>
  <c r="X339" i="2"/>
  <c r="Z339" i="2"/>
  <c r="X340" i="2"/>
  <c r="Z340" i="2"/>
  <c r="X310" i="2"/>
  <c r="Z310" i="2"/>
  <c r="X348" i="2"/>
  <c r="Z348" i="2"/>
  <c r="X354" i="2"/>
  <c r="Z354" i="2"/>
  <c r="X346" i="2"/>
  <c r="Z346" i="2"/>
  <c r="X358" i="2"/>
  <c r="Z358" i="2"/>
  <c r="X331" i="2"/>
  <c r="Z331" i="2"/>
  <c r="X364" i="2"/>
  <c r="Z364" i="2"/>
  <c r="X299" i="2"/>
  <c r="Z299" i="2"/>
  <c r="X347" i="2"/>
  <c r="Z347" i="2"/>
  <c r="X352" i="2"/>
  <c r="Z352" i="2"/>
  <c r="X345" i="2"/>
  <c r="Z345" i="2"/>
  <c r="X315" i="2"/>
  <c r="Z315" i="2"/>
  <c r="X270" i="2"/>
  <c r="Z270" i="2"/>
  <c r="X367" i="2"/>
  <c r="Z367" i="2"/>
  <c r="X349" i="2"/>
  <c r="Z349" i="2"/>
  <c r="X333" i="2"/>
  <c r="Z333" i="2"/>
  <c r="X328" i="2"/>
  <c r="Z328" i="2"/>
  <c r="X334" i="2"/>
  <c r="Z334" i="2"/>
  <c r="X326" i="2"/>
  <c r="Z326" i="2"/>
  <c r="X316" i="2"/>
  <c r="Z316" i="2"/>
  <c r="X320" i="2"/>
  <c r="Z320" i="2"/>
  <c r="X319" i="2"/>
  <c r="Z319" i="2"/>
  <c r="X309" i="2"/>
  <c r="Z309" i="2"/>
  <c r="X297" i="2"/>
  <c r="Z297" i="2"/>
  <c r="X341" i="2"/>
  <c r="Z341" i="2"/>
  <c r="X300" i="2"/>
  <c r="Z300" i="2"/>
  <c r="X294" i="2"/>
  <c r="Z294" i="2"/>
  <c r="X19" i="2"/>
  <c r="Z19" i="2"/>
  <c r="X17" i="2"/>
  <c r="Z17" i="2"/>
  <c r="X18" i="2"/>
  <c r="Z18" i="2"/>
  <c r="X15" i="2"/>
  <c r="Z15" i="2"/>
  <c r="X20" i="2"/>
  <c r="Z20" i="2"/>
  <c r="X14" i="2"/>
  <c r="Z14" i="2"/>
  <c r="X16" i="2"/>
  <c r="Z16" i="2"/>
  <c r="X13" i="2"/>
  <c r="Z13" i="2"/>
  <c r="X124" i="2"/>
  <c r="Z124" i="2"/>
  <c r="X82" i="2"/>
  <c r="Z82" i="2"/>
  <c r="X127" i="2"/>
  <c r="Z127" i="2"/>
  <c r="X84" i="2"/>
  <c r="Z84" i="2"/>
  <c r="X3" i="2"/>
  <c r="Z3" i="2"/>
  <c r="X2" i="2"/>
  <c r="Z2" i="2"/>
  <c r="X81" i="2"/>
  <c r="X382" i="2"/>
  <c r="Z382" i="2"/>
  <c r="X302" i="2"/>
  <c r="Z302" i="2"/>
  <c r="U462" i="2"/>
  <c r="X462" i="2"/>
  <c r="Z462" i="2"/>
  <c r="U461" i="2"/>
  <c r="X461" i="2"/>
  <c r="Z461" i="2"/>
  <c r="U464" i="2"/>
  <c r="X464" i="2"/>
  <c r="Z464" i="2"/>
  <c r="U469" i="2"/>
  <c r="X469" i="2"/>
  <c r="Z469" i="2"/>
  <c r="U484" i="2"/>
  <c r="X484" i="2"/>
  <c r="Z484" i="2"/>
  <c r="U476" i="2"/>
  <c r="X476" i="2"/>
  <c r="Z476" i="2"/>
  <c r="U466" i="2"/>
  <c r="X466" i="2"/>
  <c r="Z466" i="2"/>
  <c r="X58" i="2"/>
  <c r="Z58" i="2"/>
  <c r="X57" i="2"/>
  <c r="Z57" i="2"/>
  <c r="X83" i="2"/>
  <c r="Z83" i="2"/>
  <c r="X116" i="2"/>
  <c r="Z116" i="2"/>
  <c r="X118" i="2"/>
  <c r="Z118" i="2"/>
  <c r="X97" i="2"/>
  <c r="Z97" i="2"/>
  <c r="X110" i="2"/>
  <c r="Z110" i="2"/>
  <c r="X121" i="2"/>
  <c r="Z121" i="2"/>
  <c r="X104" i="2"/>
  <c r="Z104" i="2"/>
  <c r="X123" i="2"/>
  <c r="Z123" i="2"/>
  <c r="X100" i="2"/>
  <c r="Z100" i="2"/>
  <c r="X126" i="2"/>
  <c r="Z126" i="2"/>
  <c r="X85" i="2"/>
  <c r="Z85" i="2"/>
  <c r="X102" i="2"/>
  <c r="Z102" i="2"/>
  <c r="X115" i="2"/>
  <c r="Z115" i="2"/>
  <c r="X48" i="2"/>
  <c r="Z48" i="2"/>
  <c r="X47" i="2"/>
  <c r="Z47" i="2"/>
  <c r="X9" i="2"/>
  <c r="Z9" i="2"/>
  <c r="X68" i="2"/>
  <c r="Z68" i="2"/>
  <c r="X52" i="2"/>
  <c r="Z52" i="2"/>
  <c r="X477" i="2"/>
  <c r="Z477" i="2"/>
  <c r="X480" i="2"/>
  <c r="Z480" i="2"/>
  <c r="X286" i="2"/>
  <c r="Z286" i="2"/>
  <c r="X189" i="2"/>
  <c r="Z189" i="2"/>
  <c r="X317" i="2"/>
  <c r="Z317" i="2"/>
  <c r="X263" i="2"/>
  <c r="Z263" i="2"/>
  <c r="X301" i="2"/>
  <c r="Z301" i="2"/>
  <c r="X198" i="2"/>
  <c r="Z198" i="2"/>
  <c r="X191" i="2"/>
  <c r="Z191" i="2"/>
  <c r="X488" i="2"/>
  <c r="Z488" i="2"/>
  <c r="X7" i="2"/>
  <c r="Z7" i="2"/>
  <c r="X23" i="2"/>
  <c r="Z23" i="2"/>
  <c r="X387" i="2"/>
  <c r="Z387" i="2"/>
  <c r="X463" i="2"/>
  <c r="Z463" i="2"/>
  <c r="X336" i="2"/>
  <c r="Z336" i="2"/>
  <c r="X351" i="2"/>
  <c r="Z351" i="2"/>
  <c r="X430" i="2"/>
  <c r="Z430" i="2"/>
  <c r="X238" i="2"/>
  <c r="Z238" i="2"/>
  <c r="X500" i="2"/>
  <c r="Z500" i="2"/>
  <c r="X237" i="2"/>
  <c r="Z237" i="2"/>
  <c r="X242" i="2"/>
  <c r="Z242" i="2"/>
  <c r="X421" i="2"/>
  <c r="Z421" i="2"/>
  <c r="X479" i="2"/>
  <c r="Z479" i="2"/>
  <c r="X478" i="2"/>
  <c r="Z478" i="2"/>
  <c r="X490" i="2"/>
  <c r="Z490" i="2"/>
  <c r="X473" i="2"/>
  <c r="Z473" i="2"/>
  <c r="X420" i="2"/>
  <c r="Z420" i="2"/>
  <c r="X491" i="2"/>
  <c r="Z491" i="2"/>
  <c r="X419" i="2"/>
  <c r="Z419" i="2"/>
  <c r="X489" i="2"/>
  <c r="Z489" i="2"/>
  <c r="X481" i="2"/>
  <c r="Z481" i="2"/>
  <c r="X55" i="2"/>
  <c r="Z55" i="2"/>
  <c r="X60" i="2"/>
  <c r="Z60" i="2"/>
  <c r="X51" i="2"/>
  <c r="Z51" i="2"/>
  <c r="X423" i="2"/>
  <c r="Z423" i="2"/>
  <c r="X426" i="2"/>
  <c r="Z426" i="2"/>
  <c r="X428" i="2"/>
  <c r="Z428" i="2"/>
  <c r="X427" i="2"/>
  <c r="Z427" i="2"/>
  <c r="X49" i="2"/>
  <c r="Z49" i="2"/>
  <c r="X273" i="2"/>
  <c r="Z273" i="2"/>
  <c r="X266" i="2"/>
  <c r="Z266" i="2"/>
  <c r="X275" i="2"/>
  <c r="Z275" i="2"/>
  <c r="X269" i="2"/>
  <c r="Z269" i="2"/>
  <c r="X285" i="2"/>
  <c r="Z285" i="2"/>
  <c r="X262" i="2"/>
  <c r="Z262" i="2"/>
  <c r="X268" i="2"/>
  <c r="Z268" i="2"/>
  <c r="X325" i="2"/>
  <c r="Z325" i="2"/>
  <c r="X278" i="2"/>
  <c r="Z278" i="2"/>
  <c r="X277" i="2"/>
  <c r="Z277" i="2"/>
  <c r="X249" i="2"/>
  <c r="Z249" i="2"/>
  <c r="X257" i="2"/>
  <c r="Z257" i="2"/>
  <c r="X61" i="2"/>
  <c r="Z61" i="2"/>
  <c r="X54" i="2"/>
  <c r="Z54" i="2"/>
  <c r="X98" i="2"/>
  <c r="Z98" i="2"/>
  <c r="X114" i="2"/>
  <c r="Z114" i="2"/>
  <c r="X72" i="2"/>
  <c r="Z72" i="2"/>
  <c r="X70" i="2"/>
  <c r="Z70" i="2"/>
  <c r="X73" i="2"/>
  <c r="Z73" i="2"/>
  <c r="X112" i="2"/>
  <c r="Z112" i="2"/>
  <c r="X111" i="2"/>
  <c r="Z111" i="2"/>
  <c r="X95" i="2"/>
  <c r="Z95" i="2"/>
  <c r="X101" i="2"/>
  <c r="Z101" i="2"/>
  <c r="X96" i="2"/>
  <c r="Z96" i="2"/>
  <c r="X88" i="2"/>
  <c r="Z88" i="2"/>
  <c r="X103" i="2"/>
  <c r="Z103" i="2"/>
  <c r="X99" i="2"/>
  <c r="Z99" i="2"/>
  <c r="X107" i="2"/>
  <c r="Z107" i="2"/>
  <c r="X93" i="2"/>
  <c r="Z93" i="2"/>
  <c r="X199" i="2"/>
  <c r="Z199" i="2"/>
  <c r="X195" i="2"/>
  <c r="Z195" i="2"/>
  <c r="X193" i="2"/>
  <c r="Z193" i="2"/>
  <c r="X196" i="2"/>
  <c r="Z196" i="2"/>
  <c r="X194" i="2"/>
  <c r="Z194" i="2"/>
  <c r="X8" i="2"/>
  <c r="Z8" i="2"/>
  <c r="X279" i="2"/>
  <c r="Z279" i="2"/>
  <c r="X307" i="2"/>
  <c r="Z307" i="2"/>
  <c r="X290" i="2"/>
  <c r="Z290" i="2"/>
  <c r="X288" i="2"/>
  <c r="Z288" i="2"/>
  <c r="X274" i="2"/>
  <c r="Z274" i="2"/>
  <c r="X292" i="2"/>
  <c r="Z292" i="2"/>
  <c r="X282" i="2"/>
  <c r="Z282" i="2"/>
  <c r="X433" i="2"/>
  <c r="Z433" i="2"/>
  <c r="X435" i="2"/>
  <c r="Z435" i="2"/>
  <c r="X188" i="2"/>
  <c r="Z188" i="2"/>
  <c r="X187" i="2"/>
  <c r="Z187" i="2"/>
  <c r="X65" i="2"/>
  <c r="Z65" i="2"/>
  <c r="X64" i="2"/>
  <c r="Z64" i="2"/>
  <c r="X80" i="2"/>
  <c r="Z80" i="2"/>
  <c r="X79" i="2"/>
  <c r="Z79" i="2"/>
  <c r="X76" i="2"/>
  <c r="Z76" i="2"/>
  <c r="X75" i="2"/>
  <c r="Z75" i="2"/>
  <c r="X50" i="2"/>
  <c r="Z50" i="2"/>
  <c r="X200" i="2"/>
  <c r="Z200" i="2"/>
  <c r="X499" i="2"/>
  <c r="Z499" i="2"/>
  <c r="X74" i="2"/>
  <c r="Z74" i="2"/>
  <c r="X202" i="2"/>
  <c r="Z202" i="2"/>
  <c r="X62" i="2"/>
  <c r="Z62" i="2"/>
  <c r="X465" i="2"/>
  <c r="Z465" i="2"/>
  <c r="X43" i="2"/>
  <c r="Z43" i="2"/>
  <c r="X471" i="2"/>
  <c r="Z471" i="2"/>
  <c r="X271" i="2"/>
  <c r="Z271" i="2"/>
  <c r="X197" i="2"/>
  <c r="Z197" i="2"/>
  <c r="X653" i="2"/>
  <c r="Z653" i="2"/>
  <c r="X69" i="2"/>
  <c r="Z69" i="2"/>
  <c r="X281" i="2"/>
  <c r="Z281" i="2"/>
  <c r="X429" i="2"/>
  <c r="Z429" i="2"/>
  <c r="X467" i="2"/>
  <c r="Z467" i="2"/>
  <c r="X91" i="2"/>
  <c r="Z91" i="2"/>
  <c r="X272" i="2"/>
  <c r="Z272" i="2"/>
  <c r="X201" i="2"/>
  <c r="Z201" i="2"/>
  <c r="X474" i="2"/>
  <c r="Z474" i="2"/>
  <c r="X71" i="2"/>
  <c r="Z71" i="2"/>
  <c r="X483" i="2"/>
  <c r="Z483" i="2"/>
  <c r="X192" i="2"/>
  <c r="Z192" i="2"/>
  <c r="X289" i="2"/>
  <c r="Z289" i="2"/>
  <c r="X53" i="2"/>
  <c r="Z53" i="2"/>
  <c r="X106" i="2"/>
  <c r="Z106" i="2"/>
  <c r="X472" i="2"/>
  <c r="Z472" i="2"/>
  <c r="X475" i="2"/>
  <c r="Z475" i="2"/>
  <c r="X22" i="2"/>
  <c r="Z22" i="2"/>
  <c r="X6" i="2"/>
  <c r="Z6" i="2"/>
  <c r="X63" i="2"/>
  <c r="Z63" i="2"/>
  <c r="X24" i="2"/>
  <c r="Z24" i="2"/>
  <c r="X125" i="2"/>
  <c r="Z125" i="2"/>
  <c r="X122" i="2"/>
  <c r="Z122" i="2"/>
  <c r="X113" i="2"/>
  <c r="Z113" i="2"/>
  <c r="X284" i="2"/>
  <c r="Z284" i="2"/>
  <c r="X87" i="2"/>
  <c r="Z87" i="2"/>
  <c r="X105" i="2"/>
  <c r="Z105" i="2"/>
  <c r="X120" i="2"/>
  <c r="Z120" i="2"/>
  <c r="X90" i="2"/>
  <c r="Z90" i="2"/>
  <c r="X470" i="2"/>
  <c r="Z470" i="2"/>
  <c r="X89" i="2"/>
  <c r="Z89" i="2"/>
  <c r="X432" i="2"/>
  <c r="Z432" i="2"/>
  <c r="X184" i="2"/>
  <c r="Z184" i="2"/>
  <c r="X185" i="2"/>
  <c r="Z185" i="2"/>
  <c r="X183" i="2"/>
  <c r="Z183" i="2"/>
  <c r="X182" i="2"/>
  <c r="Z182" i="2"/>
  <c r="X94" i="2"/>
  <c r="Z94" i="2"/>
  <c r="X332" i="2"/>
  <c r="Z332" i="2"/>
  <c r="X86" i="2"/>
  <c r="Z86" i="2"/>
  <c r="X92" i="2"/>
  <c r="Z92" i="2"/>
  <c r="X496" i="2"/>
  <c r="Z496" i="2"/>
  <c r="X485" i="2"/>
  <c r="Z485" i="2"/>
  <c r="X494" i="2"/>
  <c r="Z494" i="2"/>
  <c r="X482" i="2"/>
  <c r="Z482" i="2"/>
  <c r="X186" i="2"/>
  <c r="Z186" i="2"/>
  <c r="X67" i="2"/>
  <c r="Z67" i="2"/>
  <c r="X260" i="2"/>
  <c r="Z260" i="2"/>
  <c r="X244" i="2"/>
  <c r="Z244" i="2"/>
  <c r="X190" i="2"/>
  <c r="Z190" i="2"/>
  <c r="X119" i="2"/>
  <c r="Z119" i="2"/>
  <c r="X436" i="2"/>
  <c r="Z436" i="2"/>
  <c r="X434" i="2"/>
  <c r="Z434" i="2"/>
  <c r="X498" i="2"/>
  <c r="Z498" i="2"/>
  <c r="X497" i="2"/>
  <c r="Z497" i="2"/>
  <c r="X495" i="2"/>
  <c r="Z495" i="2"/>
  <c r="X25" i="2"/>
  <c r="Z25" i="2"/>
  <c r="X487" i="2"/>
  <c r="Z487" i="2"/>
  <c r="X66" i="2"/>
  <c r="Z66" i="2"/>
  <c r="X486" i="2"/>
  <c r="Z486" i="2"/>
  <c r="X493" i="2"/>
  <c r="Z493" i="2"/>
  <c r="X492" i="2"/>
  <c r="Z492" i="2"/>
  <c r="X59" i="2"/>
  <c r="Z59" i="2"/>
  <c r="X56" i="2"/>
  <c r="Z56" i="2"/>
  <c r="X656" i="2"/>
  <c r="Z656" i="2"/>
  <c r="X657" i="2"/>
  <c r="Z657" i="2"/>
  <c r="X658" i="2"/>
  <c r="Z658" i="2"/>
  <c r="X660" i="2"/>
  <c r="Z660" i="2"/>
  <c r="X659" i="2"/>
  <c r="Z659" i="2"/>
  <c r="X78" i="2"/>
  <c r="Z78" i="2"/>
  <c r="X77" i="2"/>
  <c r="Z77" i="2"/>
  <c r="X109" i="2"/>
  <c r="Z109" i="2"/>
  <c r="X108" i="2"/>
  <c r="Z108" i="2"/>
  <c r="X176" i="2"/>
  <c r="Z176" i="2"/>
  <c r="X175" i="2"/>
  <c r="Z175" i="2"/>
  <c r="X174" i="2"/>
  <c r="Z174" i="2"/>
  <c r="X173" i="2"/>
  <c r="Z173" i="2"/>
  <c r="X172" i="2"/>
  <c r="Z172" i="2"/>
  <c r="X171" i="2"/>
  <c r="Z171" i="2"/>
  <c r="X170" i="2"/>
  <c r="Z170" i="2"/>
  <c r="X169" i="2"/>
  <c r="Z169" i="2"/>
  <c r="X168" i="2"/>
  <c r="Z168" i="2"/>
  <c r="X167" i="2"/>
  <c r="Z167" i="2"/>
  <c r="X166" i="2"/>
  <c r="Z166" i="2"/>
  <c r="X165" i="2"/>
  <c r="Z165" i="2"/>
  <c r="X164" i="2"/>
  <c r="Z164" i="2"/>
  <c r="X163" i="2"/>
  <c r="Z163" i="2"/>
  <c r="X162" i="2"/>
  <c r="Z162" i="2"/>
  <c r="X161" i="2"/>
  <c r="Z161" i="2"/>
  <c r="X160" i="2"/>
  <c r="Z160" i="2"/>
  <c r="X159" i="2"/>
  <c r="Z159" i="2"/>
  <c r="X416" i="2"/>
  <c r="Z416" i="2"/>
  <c r="X204" i="2"/>
  <c r="Z204" i="2"/>
  <c r="X203" i="2"/>
  <c r="Z203" i="2"/>
  <c r="X21" i="2"/>
  <c r="Z21" i="2"/>
  <c r="X4" i="2"/>
  <c r="Z4" i="2"/>
  <c r="X415" i="2"/>
  <c r="Z415" i="2"/>
  <c r="X418" i="2"/>
  <c r="Z418" i="2"/>
  <c r="X417" i="2"/>
  <c r="Z417" i="2"/>
  <c r="X431" i="2"/>
  <c r="Z431" i="2"/>
  <c r="X10" i="2"/>
  <c r="Z10" i="2"/>
  <c r="X11" i="2"/>
  <c r="Z11" i="2"/>
  <c r="X12" i="2"/>
  <c r="Z12" i="2"/>
  <c r="X26" i="2"/>
  <c r="Z26" i="2"/>
  <c r="X236" i="2"/>
  <c r="Z236" i="2"/>
  <c r="X241" i="2"/>
  <c r="Z241" i="2"/>
  <c r="X425" i="2"/>
  <c r="Z425" i="2"/>
  <c r="X422" i="2"/>
  <c r="Z422" i="2"/>
  <c r="X424" i="2"/>
  <c r="Z424" i="2"/>
  <c r="X247" i="2"/>
  <c r="Z247" i="2"/>
  <c r="X205" i="2"/>
  <c r="Z205" i="2"/>
  <c r="X253" i="2"/>
  <c r="Z253" i="2"/>
  <c r="X252" i="2"/>
  <c r="Z252" i="2"/>
  <c r="X360" i="2"/>
  <c r="Z360" i="2"/>
  <c r="X240" i="2"/>
  <c r="Z240" i="2"/>
  <c r="X254" i="2"/>
  <c r="Z254" i="2"/>
  <c r="X246" i="2"/>
  <c r="Z246" i="2"/>
  <c r="X243" i="2"/>
  <c r="Z243" i="2"/>
  <c r="X31" i="2"/>
  <c r="Z31" i="2"/>
  <c r="X36" i="2"/>
  <c r="Z36" i="2"/>
  <c r="X33" i="2"/>
  <c r="Z33" i="2"/>
  <c r="X38" i="2"/>
  <c r="Z38" i="2"/>
  <c r="X35" i="2"/>
  <c r="Z35" i="2"/>
  <c r="X32" i="2"/>
  <c r="Z32" i="2"/>
  <c r="X29" i="2"/>
  <c r="Z29" i="2"/>
  <c r="X41" i="2"/>
  <c r="Z41" i="2"/>
  <c r="X37" i="2"/>
  <c r="Z37" i="2"/>
  <c r="X28" i="2"/>
  <c r="Z28" i="2"/>
  <c r="X40" i="2"/>
  <c r="Z40" i="2"/>
  <c r="X39" i="2"/>
  <c r="Z39" i="2"/>
  <c r="X27" i="2"/>
  <c r="Z27" i="2"/>
  <c r="X42" i="2"/>
  <c r="Z42" i="2"/>
  <c r="X34" i="2"/>
  <c r="Z34" i="2"/>
  <c r="X30" i="2"/>
  <c r="Z30" i="2"/>
  <c r="X539" i="2"/>
  <c r="Z539" i="2"/>
  <c r="X540" i="2"/>
  <c r="Z540" i="2"/>
  <c r="X538" i="2"/>
  <c r="Z538" i="2"/>
  <c r="X532" i="2"/>
  <c r="Z532" i="2"/>
  <c r="X534" i="2"/>
  <c r="Z534" i="2"/>
  <c r="X535" i="2"/>
  <c r="Z535" i="2"/>
  <c r="X529" i="2"/>
  <c r="Z529" i="2"/>
  <c r="X531" i="2"/>
  <c r="Z531" i="2"/>
  <c r="X537" i="2"/>
  <c r="Z537" i="2"/>
  <c r="X530" i="2"/>
  <c r="Z530" i="2"/>
  <c r="X536" i="2"/>
  <c r="Z536" i="2"/>
  <c r="X533" i="2"/>
  <c r="Z533" i="2"/>
  <c r="X548" i="2"/>
  <c r="Z548" i="2"/>
  <c r="X550" i="2"/>
  <c r="Z550" i="2"/>
  <c r="X551" i="2"/>
  <c r="Z551" i="2"/>
  <c r="X544" i="2"/>
  <c r="Z544" i="2"/>
  <c r="X543" i="2"/>
  <c r="Z543" i="2"/>
  <c r="X546" i="2"/>
  <c r="Z546" i="2"/>
  <c r="X549" i="2"/>
  <c r="Z549" i="2"/>
  <c r="X545" i="2"/>
  <c r="Z545" i="2"/>
  <c r="X541" i="2"/>
  <c r="Z541" i="2"/>
  <c r="X547" i="2"/>
  <c r="Z547" i="2"/>
  <c r="X542" i="2"/>
  <c r="Z542" i="2"/>
  <c r="X528" i="2"/>
  <c r="Z528" i="2"/>
  <c r="X523" i="2"/>
  <c r="Z523" i="2"/>
  <c r="X527" i="2"/>
  <c r="Z527" i="2"/>
  <c r="X525" i="2"/>
  <c r="Z525" i="2"/>
  <c r="X522" i="2"/>
  <c r="Z522" i="2"/>
  <c r="X526" i="2"/>
  <c r="Z526" i="2"/>
  <c r="X524" i="2"/>
  <c r="Z524" i="2"/>
  <c r="X521" i="2"/>
  <c r="Z521" i="2"/>
  <c r="X519" i="2"/>
  <c r="Z519" i="2"/>
  <c r="X518" i="2"/>
  <c r="Z518" i="2"/>
  <c r="X520" i="2"/>
  <c r="Z520" i="2"/>
  <c r="X508" i="2"/>
  <c r="Z508" i="2"/>
  <c r="X513" i="2"/>
  <c r="Z513" i="2"/>
  <c r="X516" i="2"/>
  <c r="Z516" i="2"/>
  <c r="X512" i="2"/>
  <c r="Z512" i="2"/>
  <c r="X509" i="2"/>
  <c r="Z509" i="2"/>
  <c r="X511" i="2"/>
  <c r="Z511" i="2"/>
  <c r="X515" i="2"/>
  <c r="Z515" i="2"/>
  <c r="X514" i="2"/>
  <c r="Z514" i="2"/>
  <c r="X510" i="2"/>
  <c r="Z510" i="2"/>
  <c r="X506" i="2"/>
  <c r="Z506" i="2"/>
  <c r="X507" i="2"/>
  <c r="Z507" i="2"/>
  <c r="X468" i="2"/>
  <c r="X502" i="2"/>
  <c r="X501" i="2"/>
  <c r="X505" i="2"/>
  <c r="X504" i="2"/>
  <c r="X503" i="2"/>
  <c r="X5" i="2"/>
  <c r="Z5" i="2"/>
  <c r="X207" i="2"/>
  <c r="Z207" i="2"/>
  <c r="X553" i="2"/>
  <c r="Z553" i="2"/>
  <c r="X210" i="2"/>
  <c r="Z210" i="2"/>
  <c r="X517" i="2"/>
  <c r="Z517" i="2"/>
  <c r="X552" i="2"/>
  <c r="Z552" i="2"/>
  <c r="X611" i="2"/>
  <c r="Z611" i="2"/>
  <c r="X412" i="2"/>
  <c r="Z412" i="2"/>
  <c r="X414" i="2"/>
  <c r="Z414" i="2"/>
  <c r="X403" i="2"/>
  <c r="Z403" i="2"/>
  <c r="X390" i="2"/>
  <c r="Z390" i="2"/>
  <c r="X324" i="2"/>
  <c r="Z324" i="2"/>
  <c r="X400" i="2"/>
  <c r="Z400" i="2"/>
  <c r="X338" i="2"/>
  <c r="Z338" i="2"/>
  <c r="X393" i="2"/>
  <c r="Z393" i="2"/>
  <c r="X386" i="2"/>
  <c r="Z386" i="2"/>
  <c r="X256" i="2"/>
  <c r="Z256" i="2"/>
  <c r="X411" i="2"/>
  <c r="Z411" i="2"/>
  <c r="X401" i="2"/>
  <c r="Z401" i="2"/>
  <c r="X363" i="2"/>
  <c r="Z363" i="2"/>
  <c r="X305" i="2"/>
  <c r="Z305" i="2"/>
  <c r="X381" i="2"/>
  <c r="Z381" i="2"/>
  <c r="X385" i="2"/>
  <c r="Z385" i="2"/>
  <c r="X322" i="2"/>
  <c r="Z322" i="2"/>
  <c r="X178" i="2"/>
  <c r="Z178" i="2"/>
  <c r="X177" i="2"/>
  <c r="Z177" i="2"/>
  <c r="X158" i="2"/>
  <c r="Z158" i="2"/>
  <c r="X157" i="2"/>
  <c r="Z157" i="2"/>
  <c r="X156" i="2"/>
  <c r="Z156" i="2"/>
  <c r="X155" i="2"/>
  <c r="Z155" i="2"/>
  <c r="X154" i="2"/>
  <c r="Z154" i="2"/>
  <c r="X153" i="2"/>
  <c r="Z153" i="2"/>
  <c r="X152" i="2"/>
  <c r="Z152" i="2"/>
  <c r="X151" i="2"/>
  <c r="Z151" i="2"/>
  <c r="X150" i="2"/>
  <c r="Z150" i="2"/>
  <c r="X149" i="2"/>
  <c r="Z149" i="2"/>
  <c r="X148" i="2"/>
  <c r="Z148" i="2"/>
  <c r="X147" i="2"/>
  <c r="Z147" i="2"/>
  <c r="X146" i="2"/>
  <c r="Z146" i="2"/>
  <c r="X145" i="2"/>
  <c r="Z145" i="2"/>
  <c r="X144" i="2"/>
  <c r="Z144" i="2"/>
  <c r="X143" i="2"/>
  <c r="Z143" i="2"/>
  <c r="X142" i="2"/>
  <c r="Z142" i="2"/>
  <c r="X141" i="2"/>
  <c r="Z141" i="2"/>
  <c r="X140" i="2"/>
  <c r="Z140" i="2"/>
  <c r="X139" i="2"/>
  <c r="Z139" i="2"/>
  <c r="X138" i="2"/>
  <c r="Z138" i="2"/>
  <c r="X137" i="2"/>
  <c r="Z137" i="2"/>
  <c r="X136" i="2"/>
  <c r="Z136" i="2"/>
  <c r="X135" i="2"/>
  <c r="Z135" i="2"/>
  <c r="X134" i="2"/>
  <c r="Z134" i="2"/>
  <c r="X133" i="2"/>
  <c r="Z133" i="2"/>
  <c r="X132" i="2"/>
  <c r="Z132" i="2"/>
  <c r="X131" i="2"/>
  <c r="Z131" i="2"/>
  <c r="X130" i="2"/>
  <c r="Z130" i="2"/>
  <c r="X129" i="2"/>
  <c r="Z129" i="2"/>
  <c r="X128" i="2"/>
  <c r="Z128" i="2"/>
  <c r="X206" i="2"/>
  <c r="Z206" i="2"/>
  <c r="X211" i="2"/>
  <c r="Z211" i="2"/>
  <c r="X209" i="2"/>
  <c r="Z209" i="2"/>
  <c r="X224" i="2"/>
  <c r="X225" i="2"/>
  <c r="X208" i="2"/>
  <c r="Z208" i="2"/>
  <c r="X180" i="2"/>
  <c r="Z180" i="2"/>
  <c r="X45" i="2"/>
  <c r="Z45" i="2"/>
  <c r="X44" i="2"/>
  <c r="Z44" i="2"/>
  <c r="X179" i="2"/>
  <c r="Z179" i="2"/>
  <c r="X181" i="2"/>
  <c r="Z181" i="2"/>
  <c r="X46" i="2"/>
  <c r="Z46" i="2"/>
  <c r="R404" i="2"/>
  <c r="X404" i="2"/>
  <c r="Z404" i="2"/>
  <c r="R410" i="2"/>
  <c r="X410" i="2"/>
  <c r="Z410" i="2"/>
  <c r="R396" i="2"/>
  <c r="X396" i="2"/>
  <c r="Z396" i="2"/>
  <c r="R395" i="2"/>
  <c r="X395" i="2"/>
  <c r="Z395" i="2"/>
  <c r="R406" i="2"/>
  <c r="X406" i="2"/>
  <c r="Z406" i="2"/>
  <c r="R372" i="2"/>
  <c r="X372" i="2"/>
  <c r="Z372" i="2"/>
  <c r="R373" i="2"/>
  <c r="X373" i="2"/>
  <c r="Z373" i="2"/>
  <c r="R409" i="2"/>
  <c r="X409" i="2"/>
  <c r="Z409" i="2"/>
  <c r="R287" i="2"/>
  <c r="X287" i="2"/>
  <c r="Z287" i="2"/>
  <c r="R394" i="2"/>
  <c r="X394" i="2"/>
  <c r="Z394" i="2"/>
  <c r="R405" i="2"/>
  <c r="X405" i="2"/>
  <c r="Z405" i="2"/>
  <c r="R303" i="2"/>
  <c r="X303" i="2"/>
  <c r="Z303" i="2"/>
  <c r="X226" i="2"/>
  <c r="X228" i="2"/>
  <c r="X227" i="2"/>
  <c r="X234" i="2"/>
  <c r="X233" i="2"/>
  <c r="X232" i="2"/>
  <c r="X231" i="2"/>
  <c r="X230" i="2"/>
  <c r="X229" i="2"/>
  <c r="X222" i="2"/>
  <c r="X221" i="2"/>
  <c r="X223" i="2"/>
  <c r="X220" i="2"/>
  <c r="X219" i="2"/>
  <c r="X212" i="2"/>
  <c r="Z212" i="2"/>
  <c r="X213" i="2"/>
  <c r="Z213" i="2"/>
  <c r="X214" i="2"/>
  <c r="Z214" i="2"/>
  <c r="X216" i="2"/>
  <c r="Z216" i="2"/>
  <c r="X215" i="2"/>
  <c r="Z215" i="2"/>
  <c r="X217" i="2"/>
  <c r="X218" i="2"/>
  <c r="Y404" i="2"/>
  <c r="Y410" i="2"/>
  <c r="Y396" i="2"/>
  <c r="Y395" i="2"/>
  <c r="Y406" i="2"/>
  <c r="Y409" i="2"/>
  <c r="Y394" i="2"/>
  <c r="Y405" i="2"/>
  <c r="R241" i="3"/>
  <c r="R255" i="3"/>
  <c r="R246" i="3"/>
  <c r="R253" i="3"/>
  <c r="R243" i="3"/>
  <c r="R247" i="3"/>
  <c r="R249" i="3"/>
  <c r="R242" i="3"/>
  <c r="R240" i="3"/>
  <c r="R252" i="3"/>
  <c r="R237" i="3"/>
  <c r="R254" i="3"/>
  <c r="R236" i="3"/>
  <c r="R224" i="3"/>
  <c r="R221" i="3"/>
  <c r="R235" i="3"/>
  <c r="R234" i="3"/>
  <c r="X96" i="6"/>
  <c r="X97" i="6"/>
  <c r="X98" i="6"/>
  <c r="AC84" i="6"/>
  <c r="AC83" i="6"/>
  <c r="AC82" i="6"/>
  <c r="AC81" i="6"/>
  <c r="AC80" i="6"/>
  <c r="AC79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AB84" i="6"/>
  <c r="AB83" i="6"/>
  <c r="AB82" i="6"/>
  <c r="AB81" i="6"/>
  <c r="AB80" i="6"/>
  <c r="AB79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AC16" i="6"/>
  <c r="AC15" i="6"/>
  <c r="AC14" i="6"/>
  <c r="AC13" i="6"/>
  <c r="AC12" i="6"/>
  <c r="AC11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AB16" i="6"/>
  <c r="AB15" i="6"/>
  <c r="AB14" i="6"/>
  <c r="AB13" i="6"/>
  <c r="AB12" i="6"/>
  <c r="AB11" i="6"/>
  <c r="AC9" i="6"/>
  <c r="AC8" i="6"/>
  <c r="AC7" i="6"/>
  <c r="AC6" i="6"/>
  <c r="AC5" i="6"/>
  <c r="AC4" i="6"/>
  <c r="AB9" i="6"/>
  <c r="AB8" i="6"/>
  <c r="AB7" i="6"/>
  <c r="AB6" i="6"/>
  <c r="AB5" i="6"/>
  <c r="AB4" i="6"/>
  <c r="AC75" i="6"/>
  <c r="AC74" i="6"/>
  <c r="AC73" i="6"/>
  <c r="AC72" i="6"/>
  <c r="AC71" i="6"/>
  <c r="AC70" i="6"/>
  <c r="AB75" i="6"/>
  <c r="AB74" i="6"/>
  <c r="AB73" i="6"/>
  <c r="AB72" i="6"/>
  <c r="AB71" i="6"/>
  <c r="AB70" i="6"/>
  <c r="X100" i="6"/>
  <c r="Z100" i="6"/>
  <c r="X99" i="6"/>
  <c r="Z99" i="6"/>
  <c r="Z98" i="6"/>
  <c r="Z90" i="6"/>
  <c r="Z70" i="6"/>
  <c r="Z69" i="6"/>
  <c r="Z71" i="6"/>
  <c r="X101" i="6"/>
  <c r="Z101" i="6"/>
  <c r="Z96" i="6"/>
  <c r="Z94" i="6"/>
  <c r="Z87" i="6"/>
  <c r="Z95" i="6"/>
  <c r="Z92" i="6"/>
  <c r="Z89" i="6"/>
  <c r="Z83" i="6"/>
  <c r="Z81" i="6"/>
  <c r="Z97" i="6"/>
  <c r="Z91" i="6"/>
  <c r="Z86" i="6"/>
  <c r="Z85" i="6"/>
  <c r="Z84" i="6"/>
  <c r="Z82" i="6"/>
  <c r="Z79" i="6"/>
  <c r="Z78" i="6"/>
  <c r="Z77" i="6"/>
  <c r="Z76" i="6"/>
  <c r="Z74" i="6"/>
  <c r="Z73" i="6"/>
  <c r="Z88" i="6"/>
  <c r="Z80" i="6"/>
  <c r="Z75" i="6"/>
  <c r="Z72" i="6"/>
  <c r="Z93" i="6"/>
  <c r="Z63" i="6"/>
  <c r="Z10" i="6"/>
  <c r="Z9" i="6"/>
  <c r="Z8" i="6"/>
  <c r="Z7" i="6"/>
  <c r="Z6" i="6"/>
  <c r="Z5" i="6"/>
  <c r="Z65" i="6"/>
  <c r="Z64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X4" i="6"/>
  <c r="Z4" i="6"/>
  <c r="X3" i="6"/>
  <c r="Z3" i="6"/>
  <c r="X175" i="3"/>
  <c r="X176" i="3"/>
  <c r="X177" i="3"/>
  <c r="X234" i="3"/>
  <c r="X235" i="3"/>
  <c r="X221" i="3"/>
  <c r="X224" i="3"/>
  <c r="X236" i="3"/>
  <c r="X254" i="3"/>
  <c r="X237" i="3"/>
  <c r="X252" i="3"/>
  <c r="X240" i="3"/>
  <c r="X242" i="3"/>
  <c r="X249" i="3"/>
  <c r="X247" i="3"/>
  <c r="X243" i="3"/>
  <c r="X253" i="3"/>
  <c r="X246" i="3"/>
  <c r="X255" i="3"/>
  <c r="X241" i="3"/>
  <c r="X218" i="3"/>
  <c r="X219" i="3"/>
  <c r="X217" i="3"/>
  <c r="X220" i="3"/>
  <c r="X216" i="3"/>
  <c r="X230" i="3"/>
  <c r="X229" i="3"/>
  <c r="X226" i="3"/>
  <c r="X225" i="3"/>
  <c r="X231" i="3"/>
  <c r="X232" i="3"/>
  <c r="X233" i="3"/>
  <c r="X228" i="3"/>
  <c r="X227" i="3"/>
  <c r="X207" i="3"/>
  <c r="X208" i="3"/>
  <c r="X2" i="3"/>
  <c r="X353" i="3"/>
  <c r="Z353" i="3"/>
  <c r="U377" i="3"/>
  <c r="X377" i="3"/>
  <c r="Z377" i="3"/>
  <c r="U375" i="3"/>
  <c r="X375" i="3"/>
  <c r="Z375" i="3"/>
  <c r="X352" i="3"/>
  <c r="Z352" i="3"/>
  <c r="X376" i="3"/>
  <c r="Z376" i="3"/>
  <c r="X364" i="3"/>
  <c r="Z364" i="3"/>
  <c r="X370" i="3"/>
  <c r="Z370" i="3"/>
  <c r="X313" i="3"/>
  <c r="Z313" i="3"/>
  <c r="X312" i="3"/>
  <c r="Z312" i="3"/>
  <c r="X311" i="3"/>
  <c r="Z311" i="3"/>
  <c r="X355" i="3"/>
  <c r="Z355" i="3"/>
  <c r="X362" i="3"/>
  <c r="Z362" i="3"/>
  <c r="X357" i="3"/>
  <c r="Z357" i="3"/>
  <c r="X361" i="3"/>
  <c r="Z361" i="3"/>
  <c r="X359" i="3"/>
  <c r="Z359" i="3"/>
  <c r="X344" i="3"/>
  <c r="Z344" i="3"/>
  <c r="X371" i="3"/>
  <c r="Z371" i="3"/>
  <c r="X345" i="3"/>
  <c r="Z345" i="3"/>
  <c r="X369" i="3"/>
  <c r="Z369" i="3"/>
  <c r="X365" i="3"/>
  <c r="Z365" i="3"/>
  <c r="X354" i="3"/>
  <c r="Z354" i="3"/>
  <c r="X374" i="3"/>
  <c r="Z374" i="3"/>
  <c r="X356" i="3"/>
  <c r="Z356" i="3"/>
  <c r="X438" i="3"/>
  <c r="U378" i="3"/>
  <c r="X378" i="3"/>
  <c r="Z378" i="3"/>
  <c r="U363" i="3"/>
  <c r="X363" i="3"/>
  <c r="Z363" i="3"/>
  <c r="U379" i="3"/>
  <c r="X379" i="3"/>
  <c r="Z379" i="3"/>
  <c r="U372" i="3"/>
  <c r="X372" i="3"/>
  <c r="Z372" i="3"/>
  <c r="U366" i="3"/>
  <c r="X366" i="3"/>
  <c r="Z366" i="3"/>
  <c r="X367" i="3"/>
  <c r="Z367" i="3"/>
  <c r="X360" i="3"/>
  <c r="Z360" i="3"/>
  <c r="X350" i="3"/>
  <c r="X349" i="3"/>
  <c r="X348" i="3"/>
  <c r="X346" i="3"/>
  <c r="Z346" i="3"/>
  <c r="X368" i="3"/>
  <c r="Z368" i="3"/>
  <c r="X358" i="3"/>
  <c r="Z358" i="3"/>
  <c r="X373" i="3"/>
  <c r="X351" i="3"/>
  <c r="X347" i="3"/>
  <c r="X319" i="3"/>
  <c r="Z319" i="3"/>
  <c r="X318" i="3"/>
  <c r="Z318" i="3"/>
  <c r="X317" i="3"/>
  <c r="Z317" i="3"/>
  <c r="X316" i="3"/>
  <c r="Z316" i="3"/>
  <c r="X315" i="3"/>
  <c r="Z315" i="3"/>
  <c r="X314" i="3"/>
  <c r="Z314" i="3"/>
  <c r="X310" i="3"/>
  <c r="Z310" i="3"/>
  <c r="X309" i="3"/>
  <c r="Z309" i="3"/>
  <c r="X308" i="3"/>
  <c r="Z308" i="3"/>
  <c r="X307" i="3"/>
  <c r="Z307" i="3"/>
  <c r="X306" i="3"/>
  <c r="Z306" i="3"/>
  <c r="X305" i="3"/>
  <c r="Z305" i="3"/>
  <c r="X304" i="3"/>
  <c r="Z304" i="3"/>
  <c r="X303" i="3"/>
  <c r="Z303" i="3"/>
  <c r="X302" i="3"/>
  <c r="Z302" i="3"/>
  <c r="X215" i="3"/>
  <c r="Z215" i="3"/>
  <c r="X214" i="3"/>
  <c r="Z214" i="3"/>
  <c r="X213" i="3"/>
  <c r="Z213" i="3"/>
  <c r="X210" i="3"/>
  <c r="Z210" i="3"/>
  <c r="X212" i="3"/>
  <c r="Z212" i="3"/>
  <c r="X211" i="3"/>
  <c r="Z211" i="3"/>
  <c r="X209" i="3"/>
  <c r="Z209" i="3"/>
  <c r="Z208" i="3"/>
  <c r="Z207" i="3"/>
  <c r="R222" i="3"/>
  <c r="X222" i="3"/>
  <c r="Z222" i="3"/>
  <c r="R239" i="3"/>
  <c r="X239" i="3"/>
  <c r="Z239" i="3"/>
  <c r="R223" i="3"/>
  <c r="X223" i="3"/>
  <c r="Z223" i="3"/>
  <c r="R251" i="3"/>
  <c r="X251" i="3"/>
  <c r="Z251" i="3"/>
  <c r="R248" i="3"/>
  <c r="X248" i="3"/>
  <c r="Z248" i="3"/>
  <c r="R245" i="3"/>
  <c r="X245" i="3"/>
  <c r="Z245" i="3"/>
  <c r="R244" i="3"/>
  <c r="X244" i="3"/>
  <c r="Z244" i="3"/>
  <c r="R250" i="3"/>
  <c r="X250" i="3"/>
  <c r="Z250" i="3"/>
  <c r="R238" i="3"/>
  <c r="X238" i="3"/>
  <c r="Z238" i="3"/>
  <c r="Z241" i="3"/>
  <c r="Z255" i="3"/>
  <c r="Z246" i="3"/>
  <c r="Z253" i="3"/>
  <c r="Z243" i="3"/>
  <c r="Z247" i="3"/>
  <c r="Z249" i="3"/>
  <c r="Z242" i="3"/>
  <c r="Z240" i="3"/>
  <c r="Z252" i="3"/>
  <c r="Z237" i="3"/>
  <c r="Z254" i="3"/>
  <c r="Z236" i="3"/>
  <c r="Z224" i="3"/>
  <c r="Z221" i="3"/>
  <c r="Z235" i="3"/>
  <c r="Z234" i="3"/>
  <c r="X205" i="3"/>
  <c r="Z205" i="3"/>
  <c r="X206" i="3"/>
  <c r="Z206" i="3"/>
  <c r="X204" i="3"/>
  <c r="Z204" i="3"/>
  <c r="X203" i="3"/>
  <c r="Z203" i="3"/>
  <c r="X202" i="3"/>
  <c r="Z202" i="3"/>
  <c r="Z177" i="3"/>
  <c r="X192" i="3"/>
  <c r="Z192" i="3"/>
  <c r="X200" i="3"/>
  <c r="Z200" i="3"/>
  <c r="X197" i="3"/>
  <c r="Z197" i="3"/>
  <c r="X196" i="3"/>
  <c r="Z196" i="3"/>
  <c r="X187" i="3"/>
  <c r="Z187" i="3"/>
  <c r="X199" i="3"/>
  <c r="Z199" i="3"/>
  <c r="X194" i="3"/>
  <c r="Z194" i="3"/>
  <c r="X185" i="3"/>
  <c r="Z185" i="3"/>
  <c r="X186" i="3"/>
  <c r="Z186" i="3"/>
  <c r="X181" i="3"/>
  <c r="Z181" i="3"/>
  <c r="X188" i="3"/>
  <c r="Z188" i="3"/>
  <c r="X183" i="3"/>
  <c r="Z183" i="3"/>
  <c r="X195" i="3"/>
  <c r="Z195" i="3"/>
  <c r="X180" i="3"/>
  <c r="Z180" i="3"/>
  <c r="X182" i="3"/>
  <c r="Z182" i="3"/>
  <c r="X201" i="3"/>
  <c r="Z201" i="3"/>
  <c r="X191" i="3"/>
  <c r="Z191" i="3"/>
  <c r="X190" i="3"/>
  <c r="Z190" i="3"/>
  <c r="X178" i="3"/>
  <c r="Z178" i="3"/>
  <c r="X179" i="3"/>
  <c r="Z179" i="3"/>
  <c r="X149" i="3"/>
  <c r="Z149" i="3"/>
  <c r="X173" i="3"/>
  <c r="Z173" i="3"/>
  <c r="X131" i="3"/>
  <c r="Z131" i="3"/>
  <c r="X161" i="3"/>
  <c r="Z161" i="3"/>
  <c r="X166" i="3"/>
  <c r="Z166" i="3"/>
  <c r="X160" i="3"/>
  <c r="Z160" i="3"/>
  <c r="X140" i="3"/>
  <c r="Z140" i="3"/>
  <c r="X184" i="3"/>
  <c r="Z184" i="3"/>
  <c r="X165" i="3"/>
  <c r="Z165" i="3"/>
  <c r="X158" i="3"/>
  <c r="Z158" i="3"/>
  <c r="X157" i="3"/>
  <c r="Z157" i="3"/>
  <c r="X189" i="3"/>
  <c r="Z189" i="3"/>
  <c r="X147" i="3"/>
  <c r="Z147" i="3"/>
  <c r="X164" i="3"/>
  <c r="Z164" i="3"/>
  <c r="X156" i="3"/>
  <c r="Z156" i="3"/>
  <c r="X137" i="3"/>
  <c r="Z137" i="3"/>
  <c r="X128" i="3"/>
  <c r="Z128" i="3"/>
  <c r="X169" i="3"/>
  <c r="Z169" i="3"/>
  <c r="X145" i="3"/>
  <c r="Z145" i="3"/>
  <c r="X148" i="3"/>
  <c r="Z148" i="3"/>
  <c r="X170" i="3"/>
  <c r="Z170" i="3"/>
  <c r="X172" i="3"/>
  <c r="Z172" i="3"/>
  <c r="X152" i="3"/>
  <c r="Z152" i="3"/>
  <c r="X155" i="3"/>
  <c r="Z155" i="3"/>
  <c r="X153" i="3"/>
  <c r="Z153" i="3"/>
  <c r="X135" i="3"/>
  <c r="Z135" i="3"/>
  <c r="X162" i="3"/>
  <c r="Z162" i="3"/>
  <c r="X168" i="3"/>
  <c r="Z168" i="3"/>
  <c r="X159" i="3"/>
  <c r="Z159" i="3"/>
  <c r="X171" i="3"/>
  <c r="Z171" i="3"/>
  <c r="X193" i="3"/>
  <c r="Z193" i="3"/>
  <c r="X198" i="3"/>
  <c r="Z198" i="3"/>
  <c r="X138" i="3"/>
  <c r="Z138" i="3"/>
  <c r="X143" i="3"/>
  <c r="Z143" i="3"/>
  <c r="X133" i="3"/>
  <c r="Z133" i="3"/>
  <c r="X130" i="3"/>
  <c r="Z130" i="3"/>
  <c r="X136" i="3"/>
  <c r="Z136" i="3"/>
  <c r="X167" i="3"/>
  <c r="Z167" i="3"/>
  <c r="X127" i="3"/>
  <c r="Z127" i="3"/>
  <c r="X126" i="3"/>
  <c r="Z126" i="3"/>
  <c r="X174" i="3"/>
  <c r="Z174" i="3"/>
  <c r="X163" i="3"/>
  <c r="Z163" i="3"/>
  <c r="X151" i="3"/>
  <c r="Z151" i="3"/>
  <c r="X146" i="3"/>
  <c r="Z146" i="3"/>
  <c r="X150" i="3"/>
  <c r="Z150" i="3"/>
  <c r="X144" i="3"/>
  <c r="Z144" i="3"/>
  <c r="X139" i="3"/>
  <c r="Z139" i="3"/>
  <c r="X142" i="3"/>
  <c r="Z142" i="3"/>
  <c r="X141" i="3"/>
  <c r="Z141" i="3"/>
  <c r="X134" i="3"/>
  <c r="Z134" i="3"/>
  <c r="X129" i="3"/>
  <c r="Z129" i="3"/>
  <c r="X154" i="3"/>
  <c r="Z154" i="3"/>
  <c r="X132" i="3"/>
  <c r="Z132" i="3"/>
  <c r="X125" i="3"/>
  <c r="Z125" i="3"/>
  <c r="Z176" i="3"/>
  <c r="Z175" i="3"/>
  <c r="X124" i="3"/>
  <c r="Z124" i="3"/>
  <c r="X123" i="3"/>
  <c r="Z123" i="3"/>
  <c r="X122" i="3"/>
  <c r="Z122" i="3"/>
  <c r="X121" i="3"/>
  <c r="Z121" i="3"/>
  <c r="X120" i="3"/>
  <c r="Z120" i="3"/>
  <c r="X465" i="3"/>
  <c r="Z465" i="3"/>
  <c r="X117" i="3"/>
  <c r="Z117" i="3"/>
  <c r="X113" i="3"/>
  <c r="Z113" i="3"/>
  <c r="X111" i="3"/>
  <c r="Z111" i="3"/>
  <c r="X109" i="3"/>
  <c r="Z109" i="3"/>
  <c r="X115" i="3"/>
  <c r="Z115" i="3"/>
  <c r="X112" i="3"/>
  <c r="Z112" i="3"/>
  <c r="X114" i="3"/>
  <c r="Z114" i="3"/>
  <c r="X118" i="3"/>
  <c r="Z118" i="3"/>
  <c r="X110" i="3"/>
  <c r="Z110" i="3"/>
  <c r="X116" i="3"/>
  <c r="Z116" i="3"/>
  <c r="X119" i="3"/>
  <c r="Z119" i="3"/>
  <c r="X100" i="3"/>
  <c r="Z100" i="3"/>
  <c r="X62" i="3"/>
  <c r="Z62" i="3"/>
  <c r="X103" i="3"/>
  <c r="Z103" i="3"/>
  <c r="X63" i="3"/>
  <c r="Z63" i="3"/>
  <c r="X101" i="3"/>
  <c r="Z101" i="3"/>
  <c r="X98" i="3"/>
  <c r="Z98" i="3"/>
  <c r="X92" i="3"/>
  <c r="Z92" i="3"/>
  <c r="X65" i="3"/>
  <c r="Z65" i="3"/>
  <c r="X108" i="3"/>
  <c r="Z108" i="3"/>
  <c r="X106" i="3"/>
  <c r="Z106" i="3"/>
  <c r="X107" i="3"/>
  <c r="Z107" i="3"/>
  <c r="X105" i="3"/>
  <c r="Z105" i="3"/>
  <c r="X104" i="3"/>
  <c r="Z104" i="3"/>
  <c r="X69" i="3"/>
  <c r="Z69" i="3"/>
  <c r="X85" i="3"/>
  <c r="Z85" i="3"/>
  <c r="X64" i="3"/>
  <c r="Z64" i="3"/>
  <c r="X89" i="3"/>
  <c r="Z89" i="3"/>
  <c r="X97" i="3"/>
  <c r="Z97" i="3"/>
  <c r="X83" i="3"/>
  <c r="Z83" i="3"/>
  <c r="X99" i="3"/>
  <c r="Z99" i="3"/>
  <c r="X79" i="3"/>
  <c r="Z79" i="3"/>
  <c r="X102" i="3"/>
  <c r="Z102" i="3"/>
  <c r="X81" i="3"/>
  <c r="Z81" i="3"/>
  <c r="X90" i="3"/>
  <c r="Z90" i="3"/>
  <c r="X74" i="3"/>
  <c r="Z74" i="3"/>
  <c r="X70" i="3"/>
  <c r="Z70" i="3"/>
  <c r="X80" i="3"/>
  <c r="Z80" i="3"/>
  <c r="X75" i="3"/>
  <c r="Z75" i="3"/>
  <c r="X67" i="3"/>
  <c r="Z67" i="3"/>
  <c r="X94" i="3"/>
  <c r="Z94" i="3"/>
  <c r="X82" i="3"/>
  <c r="Z82" i="3"/>
  <c r="X78" i="3"/>
  <c r="Z78" i="3"/>
  <c r="X86" i="3"/>
  <c r="Z86" i="3"/>
  <c r="X73" i="3"/>
  <c r="Z73" i="3"/>
  <c r="X84" i="3"/>
  <c r="Z84" i="3"/>
  <c r="X96" i="3"/>
  <c r="Z96" i="3"/>
  <c r="X66" i="3"/>
  <c r="Z66" i="3"/>
  <c r="X95" i="3"/>
  <c r="Z95" i="3"/>
  <c r="X91" i="3"/>
  <c r="Z91" i="3"/>
  <c r="X77" i="3"/>
  <c r="Z77" i="3"/>
  <c r="X93" i="3"/>
  <c r="Z93" i="3"/>
  <c r="X87" i="3"/>
  <c r="Z87" i="3"/>
  <c r="X88" i="3"/>
  <c r="Z88" i="3"/>
  <c r="X76" i="3"/>
  <c r="Z76" i="3"/>
  <c r="X68" i="3"/>
  <c r="Z68" i="3"/>
  <c r="X71" i="3"/>
  <c r="Z71" i="3"/>
  <c r="X72" i="3"/>
  <c r="Z72" i="3"/>
  <c r="X55" i="3"/>
  <c r="Z55" i="3"/>
  <c r="X61" i="3"/>
  <c r="Z61" i="3"/>
  <c r="X59" i="3"/>
  <c r="Z59" i="3"/>
  <c r="X57" i="3"/>
  <c r="Z57" i="3"/>
  <c r="X60" i="3"/>
  <c r="Z60" i="3"/>
  <c r="X58" i="3"/>
  <c r="Z58" i="3"/>
  <c r="X54" i="3"/>
  <c r="Z54" i="3"/>
  <c r="X56" i="3"/>
  <c r="Z56" i="3"/>
  <c r="X52" i="3"/>
  <c r="Z52" i="3"/>
  <c r="X47" i="3"/>
  <c r="Z47" i="3"/>
  <c r="X50" i="3"/>
  <c r="Z50" i="3"/>
  <c r="X45" i="3"/>
  <c r="Z45" i="3"/>
  <c r="X44" i="3"/>
  <c r="Z44" i="3"/>
  <c r="X53" i="3"/>
  <c r="Z53" i="3"/>
  <c r="X49" i="3"/>
  <c r="Z49" i="3"/>
  <c r="X48" i="3"/>
  <c r="Z48" i="3"/>
  <c r="X51" i="3"/>
  <c r="Z51" i="3"/>
  <c r="X46" i="3"/>
  <c r="Z46" i="3"/>
  <c r="X43" i="3"/>
  <c r="Z43" i="3"/>
  <c r="X42" i="3"/>
  <c r="Z42" i="3"/>
  <c r="X41" i="3"/>
  <c r="Z41" i="3"/>
  <c r="X40" i="3"/>
  <c r="Z40" i="3"/>
  <c r="X39" i="3"/>
  <c r="Z39" i="3"/>
  <c r="X38" i="3"/>
  <c r="Z38" i="3"/>
  <c r="X31" i="3"/>
  <c r="Z31" i="3"/>
  <c r="X37" i="3"/>
  <c r="Z37" i="3"/>
  <c r="X30" i="3"/>
  <c r="Z30" i="3"/>
  <c r="X36" i="3"/>
  <c r="Z36" i="3"/>
  <c r="X29" i="3"/>
  <c r="Z29" i="3"/>
  <c r="X28" i="3"/>
  <c r="Z28" i="3"/>
  <c r="X35" i="3"/>
  <c r="Z35" i="3"/>
  <c r="X27" i="3"/>
  <c r="Z27" i="3"/>
  <c r="X26" i="3"/>
  <c r="Z26" i="3"/>
  <c r="X34" i="3"/>
  <c r="Z34" i="3"/>
  <c r="X25" i="3"/>
  <c r="Z25" i="3"/>
  <c r="X33" i="3"/>
  <c r="Z33" i="3"/>
  <c r="X32" i="3"/>
  <c r="Z32" i="3"/>
  <c r="X24" i="3"/>
  <c r="Z24" i="3"/>
  <c r="X23" i="3"/>
  <c r="Z23" i="3"/>
  <c r="X22" i="3"/>
  <c r="Z22" i="3"/>
  <c r="X21" i="3"/>
  <c r="Z21" i="3"/>
  <c r="X20" i="3"/>
  <c r="Z20" i="3"/>
  <c r="X19" i="3"/>
  <c r="Z19" i="3"/>
  <c r="X7" i="3"/>
  <c r="Z7" i="3"/>
  <c r="X4" i="3"/>
  <c r="Z4" i="3"/>
  <c r="X3" i="3"/>
  <c r="Z3" i="3"/>
  <c r="X16" i="3"/>
  <c r="Z16" i="3"/>
  <c r="X12" i="3"/>
  <c r="Z12" i="3"/>
  <c r="X11" i="3"/>
  <c r="Z11" i="3"/>
  <c r="X14" i="3"/>
  <c r="Z14" i="3"/>
  <c r="X18" i="3"/>
  <c r="Z18" i="3"/>
  <c r="X15" i="3"/>
  <c r="Z15" i="3"/>
  <c r="X17" i="3"/>
  <c r="Z17" i="3"/>
  <c r="X13" i="3"/>
  <c r="Z13" i="3"/>
  <c r="X6" i="3"/>
  <c r="Z6" i="3"/>
  <c r="Z2" i="3"/>
  <c r="X10" i="3"/>
  <c r="Z10" i="3"/>
  <c r="X9" i="3"/>
  <c r="Z9" i="3"/>
  <c r="X8" i="3"/>
  <c r="Z8" i="3"/>
  <c r="X5" i="3"/>
  <c r="Z5" i="3"/>
  <c r="X462" i="3"/>
  <c r="W526" i="1"/>
  <c r="V526" i="1"/>
  <c r="Y631" i="2"/>
  <c r="Y635" i="2"/>
  <c r="Y632" i="2"/>
  <c r="Y636" i="2"/>
  <c r="Y634" i="2"/>
  <c r="Y629" i="2"/>
  <c r="Y633" i="2"/>
  <c r="Y630" i="2"/>
  <c r="Y628" i="2"/>
  <c r="Y640" i="2"/>
  <c r="Y642" i="2"/>
  <c r="Y638" i="2"/>
  <c r="Y644" i="2"/>
  <c r="Y627" i="2"/>
  <c r="Y643" i="2"/>
  <c r="Y639" i="2"/>
  <c r="Y637" i="2"/>
  <c r="Y641" i="2"/>
  <c r="W382" i="2"/>
  <c r="V217" i="2"/>
  <c r="V218" i="2"/>
  <c r="V302" i="2"/>
  <c r="W354" i="1"/>
  <c r="V198" i="1"/>
  <c r="V190" i="1"/>
  <c r="V272" i="1"/>
  <c r="N1" i="4"/>
  <c r="M1" i="4"/>
  <c r="L1" i="4"/>
</calcChain>
</file>

<file path=xl/comments1.xml><?xml version="1.0" encoding="utf-8"?>
<comments xmlns="http://schemas.openxmlformats.org/spreadsheetml/2006/main">
  <authors>
    <author>user</author>
  </authors>
  <commentList>
    <comment ref="K5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should this be Chaparral - ceanothus?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46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should this be Chaparral - ceanothus?</t>
        </r>
      </text>
    </comment>
    <comment ref="K46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should this be Chaparral - ceanothus?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8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should this be Chaparral - ceanothus?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should this be Chaparral - ceanothus?</t>
        </r>
      </text>
    </comment>
  </commentList>
</comments>
</file>

<file path=xl/sharedStrings.xml><?xml version="1.0" encoding="utf-8"?>
<sst xmlns="http://schemas.openxmlformats.org/spreadsheetml/2006/main" count="28038" uniqueCount="1406">
  <si>
    <t>Database ID</t>
  </si>
  <si>
    <t>Lead Author</t>
  </si>
  <si>
    <t>Publication Year</t>
  </si>
  <si>
    <t>Title</t>
  </si>
  <si>
    <t>Journal</t>
  </si>
  <si>
    <t xml:space="preserve">Contact Author Institute </t>
  </si>
  <si>
    <t>Measurement Type</t>
  </si>
  <si>
    <t>Measurement Date</t>
  </si>
  <si>
    <t>Location</t>
  </si>
  <si>
    <t>FS geographic region</t>
  </si>
  <si>
    <t>State</t>
  </si>
  <si>
    <t>Fuel Type</t>
  </si>
  <si>
    <t>Primary Species 1</t>
  </si>
  <si>
    <t>Primary Species 2</t>
  </si>
  <si>
    <t>Fire Unit Name</t>
  </si>
  <si>
    <t>EF-CH4 Methane (g/kg)</t>
  </si>
  <si>
    <t xml:space="preserve">Bovee, Harley </t>
  </si>
  <si>
    <t>The Study of Forest Fire Atmospheric Pollution</t>
  </si>
  <si>
    <t xml:space="preserve">USFS 4040 (4000) Interim Report 68-1 </t>
  </si>
  <si>
    <t xml:space="preserve">U.S. Forest Service </t>
  </si>
  <si>
    <t>Laboratory</t>
  </si>
  <si>
    <t>Charles Lathrop Pack Experimental Forest of the University of Washington</t>
  </si>
  <si>
    <t>R6</t>
  </si>
  <si>
    <t>WA</t>
  </si>
  <si>
    <t xml:space="preserve">Hemlock </t>
  </si>
  <si>
    <t>Hemlock 1</t>
  </si>
  <si>
    <t>Hemlock 2</t>
  </si>
  <si>
    <t xml:space="preserve">Douglas- Fir </t>
  </si>
  <si>
    <t>Douglas- Fir 1</t>
  </si>
  <si>
    <t xml:space="preserve">Western Redcedar </t>
  </si>
  <si>
    <t>Western Redcedar 1</t>
  </si>
  <si>
    <t>Western Redcedar 2</t>
  </si>
  <si>
    <t>Nelson, Ralph M.</t>
  </si>
  <si>
    <t>Backfire Particulate Emissions and Byram's Fire Intensity</t>
  </si>
  <si>
    <t xml:space="preserve">Forest Service Note SE- 290 </t>
  </si>
  <si>
    <t>Southeastern Forest Experiment Station</t>
  </si>
  <si>
    <t>Field</t>
  </si>
  <si>
    <t>Cochran, Ga</t>
  </si>
  <si>
    <t>GA</t>
  </si>
  <si>
    <t>Pine litter</t>
  </si>
  <si>
    <t>Macon, Ga</t>
  </si>
  <si>
    <t>NC</t>
  </si>
  <si>
    <t>LA</t>
  </si>
  <si>
    <t>FL</t>
  </si>
  <si>
    <t>Waycross, Ga</t>
  </si>
  <si>
    <t>Ward, Darold E.</t>
  </si>
  <si>
    <t>A Sampling System for Measuring Emissions from West Coast Prescribed Fire</t>
  </si>
  <si>
    <t>Annual General Meeting Air Pollution Control Association, Pacific Northwest International Section, Vancouver, BC.</t>
  </si>
  <si>
    <t>U.S. Department of Agriculture, Forest Service Pacific Northwest Forest &amp; Range Experiment Station</t>
  </si>
  <si>
    <t>Field, Ground</t>
  </si>
  <si>
    <t>late August 1982</t>
  </si>
  <si>
    <t>Western Washington</t>
  </si>
  <si>
    <t>Old-growth Timber</t>
  </si>
  <si>
    <t>51F</t>
  </si>
  <si>
    <t>52F</t>
  </si>
  <si>
    <t>53F</t>
  </si>
  <si>
    <t>54F</t>
  </si>
  <si>
    <t>55F</t>
  </si>
  <si>
    <t>61S</t>
  </si>
  <si>
    <t>62S</t>
  </si>
  <si>
    <t>63S</t>
  </si>
  <si>
    <t>64S</t>
  </si>
  <si>
    <t>65S</t>
  </si>
  <si>
    <t>71S</t>
  </si>
  <si>
    <t>73S</t>
  </si>
  <si>
    <t>74S</t>
  </si>
  <si>
    <t>75S</t>
  </si>
  <si>
    <t>Ankle Biter,1</t>
  </si>
  <si>
    <t>Ankle, Biter, 2</t>
  </si>
  <si>
    <t>Tenas 10,1</t>
  </si>
  <si>
    <t>Tenas 10, 2</t>
  </si>
  <si>
    <t>Tenas 7,1</t>
  </si>
  <si>
    <t>Tenas 7, 2</t>
  </si>
  <si>
    <t>Laboratory Measurements of Carbonyl Sulfide and Total Sulfur Emissions from Open Burning of Forest Biomass</t>
  </si>
  <si>
    <t xml:space="preserve">75th Annual Meeting of the Air Pollution Control Associations, New Orleans, LA </t>
  </si>
  <si>
    <t>Southeast</t>
  </si>
  <si>
    <t>R8</t>
  </si>
  <si>
    <t>Slash Pine needles lifted from the forest floor in an undisturbed fashion.</t>
  </si>
  <si>
    <t>Pinus Elliotti Engelm</t>
  </si>
  <si>
    <t>Pine Needles</t>
  </si>
  <si>
    <t xml:space="preserve">First year-slash pine needles spread randomly on fuel basket and treated with 4.49mg of ammonium sulfate per cm^2 </t>
  </si>
  <si>
    <t>Treated Pine Needles</t>
  </si>
  <si>
    <t>First-year slash pine needles spread randomly with saw-palmetto fronds</t>
  </si>
  <si>
    <t>Serona repens</t>
  </si>
  <si>
    <t>Palmetto with Needles</t>
  </si>
  <si>
    <t xml:space="preserve">a fuel bed of sawgrass standing vertically with dead fuels mixed with green fuels </t>
  </si>
  <si>
    <t xml:space="preserve">Cladium jamicensis </t>
  </si>
  <si>
    <t>Sawgrass</t>
  </si>
  <si>
    <t xml:space="preserve">Central Florida </t>
  </si>
  <si>
    <t>Hontoon Series</t>
  </si>
  <si>
    <t>Organic Soil</t>
  </si>
  <si>
    <t>Organic Soil 2</t>
  </si>
  <si>
    <t>Measurement of Smoke from Two Prescribed Fires in the Pacific Northwest</t>
  </si>
  <si>
    <t xml:space="preserve">USDA Forest Service </t>
  </si>
  <si>
    <t>Eugene, OR</t>
  </si>
  <si>
    <t>OR</t>
  </si>
  <si>
    <t>Timber harvest clearcurt</t>
  </si>
  <si>
    <t>Unit B, 2</t>
  </si>
  <si>
    <t>Unit B, 3</t>
  </si>
  <si>
    <t>Unit B, 4</t>
  </si>
  <si>
    <t>Average of Unit A, 1 and Unit B, 2,3,4.</t>
  </si>
  <si>
    <t>Average of Unit B</t>
  </si>
  <si>
    <t>Other Units</t>
  </si>
  <si>
    <t>Clements, Hubert B.</t>
  </si>
  <si>
    <t>A Microcombustion Method To Measure Forest Fuel Emissions</t>
  </si>
  <si>
    <t>Journal of Fire Sciences, VOL. 2: 260-275</t>
  </si>
  <si>
    <t xml:space="preserve">Southern Forest Fire Laboratory </t>
  </si>
  <si>
    <t>Southern United States</t>
  </si>
  <si>
    <t>Slash Pine needles</t>
  </si>
  <si>
    <t>Pinus elliotti Engelm</t>
  </si>
  <si>
    <t>var elliotti</t>
  </si>
  <si>
    <t>Oxygen</t>
  </si>
  <si>
    <t>Nitrogen</t>
  </si>
  <si>
    <t>Advances in the Characterization and Control of Emissions from Prescribed Fires</t>
  </si>
  <si>
    <t>77th Annual Meeting of the Air Pollution Control Association, San Francisco, CA</t>
  </si>
  <si>
    <t xml:space="preserve">United States Department of Agriculture </t>
  </si>
  <si>
    <t>Western Oregon</t>
  </si>
  <si>
    <t>Broadcast logging slash</t>
  </si>
  <si>
    <t>Maria 2, S1</t>
  </si>
  <si>
    <t>Maria 2, S2</t>
  </si>
  <si>
    <t>CAT, S1</t>
  </si>
  <si>
    <t>HEBO, F</t>
  </si>
  <si>
    <t>Maria 1, S1</t>
  </si>
  <si>
    <t>CAT, F</t>
  </si>
  <si>
    <t>Dlake 2, S2</t>
  </si>
  <si>
    <t>HEBO, S1</t>
  </si>
  <si>
    <t>Maria 1, F</t>
  </si>
  <si>
    <t>Maria 1, S2</t>
  </si>
  <si>
    <t>Dlake 1, S1</t>
  </si>
  <si>
    <t>Dlake 1, S2</t>
  </si>
  <si>
    <t>Dlake 2, S1</t>
  </si>
  <si>
    <t>Dlake 1, F</t>
  </si>
  <si>
    <t>CAT, S2</t>
  </si>
  <si>
    <t>Dlake 1, S3</t>
  </si>
  <si>
    <t>Dlake 2, F</t>
  </si>
  <si>
    <t>Patterson, E. M.</t>
  </si>
  <si>
    <t>Absorption Properties andGraphitic Carbon Emission Factors of Forest Fire Aerosols</t>
  </si>
  <si>
    <t>Geophysical Research letters, Vol. 13, No. 1: 129-132</t>
  </si>
  <si>
    <t xml:space="preserve">School of Geophysical Sciences, Georgia Institute of Technology </t>
  </si>
  <si>
    <t>Pacific Northwest</t>
  </si>
  <si>
    <t>Pine needles</t>
  </si>
  <si>
    <t>Radke, L. F.</t>
  </si>
  <si>
    <t xml:space="preserve">Aerosols and Climate, Eds. Peter V. Hobbs and M. Patrick McCormick, A. Deepak Publishing </t>
  </si>
  <si>
    <t xml:space="preserve">University of Washington </t>
  </si>
  <si>
    <t xml:space="preserve">Field, Ground </t>
  </si>
  <si>
    <t>R5</t>
  </si>
  <si>
    <t>CA</t>
  </si>
  <si>
    <t>Standing Black Sage, Sumac and Chamise</t>
  </si>
  <si>
    <t>Eagle</t>
  </si>
  <si>
    <t>Standing Chaparral, Chamise</t>
  </si>
  <si>
    <t>Lodi 2</t>
  </si>
  <si>
    <t>Ontario, CA (Canada)</t>
  </si>
  <si>
    <t>Hardiman</t>
  </si>
  <si>
    <t>Grants Pass, Oregon</t>
  </si>
  <si>
    <t>Douglas Fir, True Fir, hemlock</t>
  </si>
  <si>
    <t>Silver</t>
  </si>
  <si>
    <t xml:space="preserve">Airborne Measurements on Smokes from Biomass Burning
</t>
  </si>
  <si>
    <t xml:space="preserve">Troy, Montana </t>
  </si>
  <si>
    <t>R1</t>
  </si>
  <si>
    <t>MT</t>
  </si>
  <si>
    <t>Troy</t>
  </si>
  <si>
    <t>Emission Factors for Particles from Prescribed Fires By Region in the United States</t>
  </si>
  <si>
    <t>APCA/EPA International Specialty Conference, San Francisco, CA: p372-386</t>
  </si>
  <si>
    <t xml:space="preserve">USDA Forest Service Intermountain Research Station </t>
  </si>
  <si>
    <t>Ponderosa Pine</t>
  </si>
  <si>
    <t>Hardwood</t>
  </si>
  <si>
    <t>Chaparral</t>
  </si>
  <si>
    <t>Sagebrush</t>
  </si>
  <si>
    <t>Hegg, Dean</t>
  </si>
  <si>
    <t>Emissions of Some Trace Gases From Biomass Fires</t>
  </si>
  <si>
    <t xml:space="preserve">82nd Annual Meeting and Exhibition Anaheim, California </t>
  </si>
  <si>
    <t>U of Washington</t>
  </si>
  <si>
    <t>Field, Air</t>
  </si>
  <si>
    <t>Los Angeles Basin</t>
  </si>
  <si>
    <t>Chaparral, Chamise</t>
  </si>
  <si>
    <t xml:space="preserve">Lodi 1 </t>
  </si>
  <si>
    <t>Roseburg, Orgeon</t>
  </si>
  <si>
    <t>Pine, brush, Douglas Fir</t>
  </si>
  <si>
    <t>Myrtle/Fall Creek</t>
  </si>
  <si>
    <t>17-19-Sept-87</t>
  </si>
  <si>
    <t>Douglas Fir, True Fir, Hemlock, Jack Pine</t>
  </si>
  <si>
    <t>Chapleau, Ontario</t>
  </si>
  <si>
    <t>Black Sage, Sumac, Chamise</t>
  </si>
  <si>
    <t>Comana, California</t>
  </si>
  <si>
    <t>Jack Pine, White and Black Spruce</t>
  </si>
  <si>
    <t>Timmins, Ontario</t>
  </si>
  <si>
    <t>Battersby</t>
  </si>
  <si>
    <t>Emissions From Prescribed Burning of Chaparral</t>
  </si>
  <si>
    <t xml:space="preserve">Annual Meeting of the Air and Waste Management Association, Anaheim, CA </t>
  </si>
  <si>
    <t xml:space="preserve">Intermountain Research Station </t>
  </si>
  <si>
    <t>Lodi Cayon San Dimas Experimetnal Forest Los Angeles, CA</t>
  </si>
  <si>
    <t>Lodi 1, F</t>
  </si>
  <si>
    <t>22 September, 1986</t>
  </si>
  <si>
    <t xml:space="preserve"> Chaparral, Chamise</t>
  </si>
  <si>
    <t>Lodi 2, F1F2</t>
  </si>
  <si>
    <t>23 September, 1986</t>
  </si>
  <si>
    <t xml:space="preserve">Chaparral, micture of ceanothus, scrub oak, toyon and western mountain-mahogany </t>
  </si>
  <si>
    <t>Lodi 3, S1</t>
  </si>
  <si>
    <t>Lodi 3, F</t>
  </si>
  <si>
    <t>Lodi 2, F1</t>
  </si>
  <si>
    <t>Lodi 2, F2</t>
  </si>
  <si>
    <t>Particulate and Trace Gas Emissions from Large Biomass Fires in North America</t>
  </si>
  <si>
    <t>Global Biomass Burning: Atmospheric, Climate, and Biospheric Implications. Cambridge, MA: MIT Press</t>
  </si>
  <si>
    <t>National Institute of Standards and Technology</t>
  </si>
  <si>
    <t>Field, prescribed</t>
  </si>
  <si>
    <t>Los Angles, CA</t>
  </si>
  <si>
    <t>Lodi 1</t>
  </si>
  <si>
    <t>Field, Wildfire</t>
  </si>
  <si>
    <t>Roseberg, OR</t>
  </si>
  <si>
    <t>Pine, brush &amp; Douglas Fir</t>
  </si>
  <si>
    <t>Grants Pass, OR</t>
  </si>
  <si>
    <t>CAN</t>
  </si>
  <si>
    <t>Jack Pine, Aspen, Paper Birch</t>
  </si>
  <si>
    <t>Ramona, CA</t>
  </si>
  <si>
    <t>Jack Pine, White &amp; Black Spruce</t>
  </si>
  <si>
    <t>"Chained" &amp; Herbicidal Paper Birch &amp; Poplar</t>
  </si>
  <si>
    <t>Hill</t>
  </si>
  <si>
    <t>Hornepayne, Ontario</t>
  </si>
  <si>
    <t>"Chained" &amp; Herbicidal Paper Birch, Poplar *mixed Hardwoods</t>
  </si>
  <si>
    <t xml:space="preserve">Wicksteed  </t>
  </si>
  <si>
    <t>Kelowna, B.C.</t>
  </si>
  <si>
    <t>Hemlock debris, deciduous, Douglas Fir</t>
  </si>
  <si>
    <t>Mabel Lake</t>
  </si>
  <si>
    <t>Weise, David R.</t>
  </si>
  <si>
    <t xml:space="preserve">Burning California Chaparral- An Exploratory Study of Some Common Shrubs and Their Combustion Characteristics </t>
  </si>
  <si>
    <t>International Journal Wildland Fire 1(3):153-158</t>
  </si>
  <si>
    <t>USDA Forest Service Pacific Southwest Forest and Range Experiment Station</t>
  </si>
  <si>
    <t>Riverside, CA</t>
  </si>
  <si>
    <t>Ceanothus</t>
  </si>
  <si>
    <t>Ceanothus crassifolia</t>
  </si>
  <si>
    <t>Quercus</t>
  </si>
  <si>
    <t>Quercus dumosa</t>
  </si>
  <si>
    <t>Chamise</t>
  </si>
  <si>
    <t xml:space="preserve">Adenostoma fasciculatum </t>
  </si>
  <si>
    <t>Manzanita</t>
  </si>
  <si>
    <t>Arctostaphylos glandulosa</t>
  </si>
  <si>
    <t>Hardy, Colin C.</t>
  </si>
  <si>
    <t>PM2.5 Emissions from a Major Wildfire using A GIS: Rectification of Airborne Measurements</t>
  </si>
  <si>
    <t>Pacific Northwest International Section of the Air and Waste Management Association Annual Meeting, Bellevue, WA</t>
  </si>
  <si>
    <t xml:space="preserve">Pacific Northwest Research Station </t>
  </si>
  <si>
    <t>Silver Fire, OR</t>
  </si>
  <si>
    <t>Laursen, Krista K.</t>
  </si>
  <si>
    <t>Some Trace Gas Emissions from North American Biomass Fires with as Assessment of Regional and Global Fluxes from Biomass Burning</t>
  </si>
  <si>
    <t>Journal of Geophysical Research Vol. 97, No.D18:20687-20701</t>
  </si>
  <si>
    <t>University of Washington</t>
  </si>
  <si>
    <t>black sage, sumac, chamise</t>
  </si>
  <si>
    <t>chaparral, chamise</t>
  </si>
  <si>
    <t>Lodi I</t>
  </si>
  <si>
    <t>Lodi II</t>
  </si>
  <si>
    <t>ON</t>
  </si>
  <si>
    <t>jack pine, aspen, paper birch</t>
  </si>
  <si>
    <t>pine, brush, Douglas-fir</t>
  </si>
  <si>
    <t>Myrtle/Fall Creeek</t>
  </si>
  <si>
    <t>Douglas-fir, ture fir, hemlock</t>
  </si>
  <si>
    <t>Troy, MT</t>
  </si>
  <si>
    <t>pine, Douglas-fir, true fir</t>
  </si>
  <si>
    <t>jack pine, white and black spruce</t>
  </si>
  <si>
    <t>Peterlong</t>
  </si>
  <si>
    <t>paper birch, poplar</t>
  </si>
  <si>
    <t>birch, poplar, mixed hardwoods</t>
  </si>
  <si>
    <t>Wicksteed</t>
  </si>
  <si>
    <t>BC</t>
  </si>
  <si>
    <t>hemlock, deciduous, Douglas-fir</t>
  </si>
  <si>
    <t>Fairbanks, AK</t>
  </si>
  <si>
    <t>AK</t>
  </si>
  <si>
    <t>black spruce</t>
  </si>
  <si>
    <t>Alaska (A121)</t>
  </si>
  <si>
    <t>Air Toxic Emissions from Burning of Biomass Globally- Preliminary Estimates</t>
  </si>
  <si>
    <t>85th Annual Meeting and Exhibition Aire and Waste Management, Kansas City, Missouri</t>
  </si>
  <si>
    <t>USDA Forest Service</t>
  </si>
  <si>
    <t>Global Estimates</t>
  </si>
  <si>
    <t>Fuelwood</t>
  </si>
  <si>
    <t>Temperate &amp; Boreal</t>
  </si>
  <si>
    <t>Tropical Forest</t>
  </si>
  <si>
    <t>Agricultural Residues</t>
  </si>
  <si>
    <t>Tropical Savanna</t>
  </si>
  <si>
    <t>Emission Factor Measurement for Two Fires in British Columbia Compared with Results for Oregon and Washington</t>
  </si>
  <si>
    <t>Proceedings Pacific Northwest International Section of the Air and Waste Management Association Annual Meeting, Bellevue, WA</t>
  </si>
  <si>
    <t>Intermountain Research Station</t>
  </si>
  <si>
    <t xml:space="preserve">Clearwater, British Columbia </t>
  </si>
  <si>
    <t>Timber Slash (49&amp; western red cedar, 22% Douglas fire, 25% subalpine fir)</t>
  </si>
  <si>
    <t>BC12F</t>
  </si>
  <si>
    <t>BC12I</t>
  </si>
  <si>
    <t>BC12S</t>
  </si>
  <si>
    <t>BC14F</t>
  </si>
  <si>
    <t>BC14I</t>
  </si>
  <si>
    <t>BC14S</t>
  </si>
  <si>
    <t>BC15F</t>
  </si>
  <si>
    <t>BC15I</t>
  </si>
  <si>
    <t>BC15S</t>
  </si>
  <si>
    <t xml:space="preserve">Field, Air </t>
  </si>
  <si>
    <t>Column, 1516</t>
  </si>
  <si>
    <t>Column, 1526</t>
  </si>
  <si>
    <t>Plume, 1541</t>
  </si>
  <si>
    <t>Column, 1627</t>
  </si>
  <si>
    <t>Column, 1434</t>
  </si>
  <si>
    <t>Column, 1442</t>
  </si>
  <si>
    <t>Post-Cloud, 1517</t>
  </si>
  <si>
    <t>Babbitt, R.E.</t>
  </si>
  <si>
    <t>Smoke From Western Wildfires, 1994</t>
  </si>
  <si>
    <t>Proceedings of the 1994 Annual Meeting of Interior West Fire Council</t>
  </si>
  <si>
    <t>Payette NF, ID</t>
  </si>
  <si>
    <t>ID</t>
  </si>
  <si>
    <t>western forest</t>
  </si>
  <si>
    <t>FC293</t>
  </si>
  <si>
    <t>FC149</t>
  </si>
  <si>
    <t>FC174</t>
  </si>
  <si>
    <t>FC113</t>
  </si>
  <si>
    <t>FC308</t>
  </si>
  <si>
    <t>FC182</t>
  </si>
  <si>
    <t>FC176</t>
  </si>
  <si>
    <t>McKenzie, Lisa M.</t>
  </si>
  <si>
    <t>Quantification of Major Components Emitted From Smoldering Combustion of Wood</t>
  </si>
  <si>
    <t>Atmospheric Environment Vol. 28, No.20:3285-3292</t>
  </si>
  <si>
    <t>Shafizadeh Center for Wood and Carbohydrate Chemistry</t>
  </si>
  <si>
    <t>Ponderosa pine wood</t>
  </si>
  <si>
    <t>Pinus poderosa</t>
  </si>
  <si>
    <t>Wood</t>
  </si>
  <si>
    <t>Measurement and Modeling of Air Toxins from Smoldering Combustion of Biomass</t>
  </si>
  <si>
    <t xml:space="preserve">Environmental Science &amp; Technology, Vol. 29, No. 8 </t>
  </si>
  <si>
    <t>laboratory</t>
  </si>
  <si>
    <t>Northwestern Montana</t>
  </si>
  <si>
    <t>Yokelson, Robert J.</t>
  </si>
  <si>
    <t>Open-Path Fourier Transform Infrared Studies of Large Scale Laboratory Biomass Fires</t>
  </si>
  <si>
    <t>Journal of Geophysical Research Vol. 101, No. D15: 21067-2080</t>
  </si>
  <si>
    <t xml:space="preserve">Univeristy of Montana </t>
  </si>
  <si>
    <t>Missoula, MT</t>
  </si>
  <si>
    <t>pinus ponderosa</t>
  </si>
  <si>
    <t>3 Pine Needles</t>
  </si>
  <si>
    <t>*4173</t>
  </si>
  <si>
    <t>*3334</t>
  </si>
  <si>
    <t>*3986</t>
  </si>
  <si>
    <t>*40.36</t>
  </si>
  <si>
    <t>*656.8</t>
  </si>
  <si>
    <t>*181.4</t>
  </si>
  <si>
    <t>*4.64</t>
  </si>
  <si>
    <t>*126</t>
  </si>
  <si>
    <t>5 Pine Needles</t>
  </si>
  <si>
    <t>*4172</t>
  </si>
  <si>
    <t>*3275</t>
  </si>
  <si>
    <t>*4002</t>
  </si>
  <si>
    <t>*42.4</t>
  </si>
  <si>
    <t>*702.1</t>
  </si>
  <si>
    <t>*166.4</t>
  </si>
  <si>
    <t>*4.62</t>
  </si>
  <si>
    <t>*137</t>
  </si>
  <si>
    <t>Duff, pineneedles, twigs, wood</t>
  </si>
  <si>
    <t>Broadcast</t>
  </si>
  <si>
    <t>*3701</t>
  </si>
  <si>
    <t>*3215</t>
  </si>
  <si>
    <t>*3577</t>
  </si>
  <si>
    <t>*41.45</t>
  </si>
  <si>
    <t>*463.1</t>
  </si>
  <si>
    <t>*146.8</t>
  </si>
  <si>
    <t>*2.9</t>
  </si>
  <si>
    <t>*44.3</t>
  </si>
  <si>
    <t>twigs, needles, small branches</t>
  </si>
  <si>
    <t>Slash</t>
  </si>
  <si>
    <t>*3724</t>
  </si>
  <si>
    <t>*3170</t>
  </si>
  <si>
    <t>*3637</t>
  </si>
  <si>
    <t>*22.59</t>
  </si>
  <si>
    <t>*523.4</t>
  </si>
  <si>
    <t>*100.5</t>
  </si>
  <si>
    <t>*1.49</t>
  </si>
  <si>
    <t>*38.3</t>
  </si>
  <si>
    <t>sagebrush</t>
  </si>
  <si>
    <t>artemisia tridentata</t>
  </si>
  <si>
    <t>8 Sagebrush</t>
  </si>
  <si>
    <t>*3654</t>
  </si>
  <si>
    <t>*3267</t>
  </si>
  <si>
    <t>*3585</t>
  </si>
  <si>
    <t>*82.54</t>
  </si>
  <si>
    <t>*450.8</t>
  </si>
  <si>
    <t>*149.6</t>
  </si>
  <si>
    <t>*18.2</t>
  </si>
  <si>
    <t>Pine needles, duff</t>
  </si>
  <si>
    <t>9 Ground</t>
  </si>
  <si>
    <t>*3229</t>
  </si>
  <si>
    <t>*403.8</t>
  </si>
  <si>
    <t>Duff, twigs, needles and pine needles</t>
  </si>
  <si>
    <t>pinus conrota, pinus ponderosa</t>
  </si>
  <si>
    <t>10 Ground</t>
  </si>
  <si>
    <t>*3476</t>
  </si>
  <si>
    <t>*212.4</t>
  </si>
  <si>
    <t>twigs, needles, wood, pine needles and green needles</t>
  </si>
  <si>
    <t>Pinus conrota, pseudotsuga menziesii, pinus ponderosa</t>
  </si>
  <si>
    <t>11 Crown</t>
  </si>
  <si>
    <t>*3279</t>
  </si>
  <si>
    <t>*324.5</t>
  </si>
  <si>
    <t>12 Sagebrush</t>
  </si>
  <si>
    <t>*3671</t>
  </si>
  <si>
    <t>*3219</t>
  </si>
  <si>
    <t>*3622</t>
  </si>
  <si>
    <t>*69.06</t>
  </si>
  <si>
    <t>*513.4</t>
  </si>
  <si>
    <t>*117.2</t>
  </si>
  <si>
    <t>*3.33</t>
  </si>
  <si>
    <t>*9.4</t>
  </si>
  <si>
    <t>Goode, Jon G.</t>
  </si>
  <si>
    <t>Trace Gas Emissions from Laboratory Biomass Fires Measured by Open-Path Fourier Transform infrared Spectroscopy: Fires in Grass and Surface Fuels</t>
  </si>
  <si>
    <t>Journal of Geophysical Research Vol. 104, No. D17: 21237-21245</t>
  </si>
  <si>
    <t>University of Montana</t>
  </si>
  <si>
    <t>Ponderosa pine needles</t>
  </si>
  <si>
    <t>Grass</t>
  </si>
  <si>
    <t>Douglas-fir litter</t>
  </si>
  <si>
    <t xml:space="preserve">Ponderosa pine needles </t>
  </si>
  <si>
    <t>Measurements of Excess O3, CO2, CO, CH4, C2H4, C2H2, HCN, NO, NH3, HCOOH, CH3COOH, HCHO, and CH3OH in 1997</t>
  </si>
  <si>
    <t>Journal of Geophysical Research</t>
  </si>
  <si>
    <t>U Montana</t>
  </si>
  <si>
    <t>Field. Air</t>
  </si>
  <si>
    <t>Wildfire B320</t>
  </si>
  <si>
    <t>R10</t>
  </si>
  <si>
    <t>bombing range</t>
  </si>
  <si>
    <t>grass</t>
  </si>
  <si>
    <t>shrub</t>
  </si>
  <si>
    <t>B320</t>
  </si>
  <si>
    <t>21, 23, 24 Jun 97</t>
  </si>
  <si>
    <t>Wildfire B280</t>
  </si>
  <si>
    <t>boreal forest</t>
  </si>
  <si>
    <t>shrub, bog</t>
  </si>
  <si>
    <t>B280</t>
  </si>
  <si>
    <t>Wildfire B349</t>
  </si>
  <si>
    <t>B349</t>
  </si>
  <si>
    <t>24, 27-Jun 97</t>
  </si>
  <si>
    <t>Wildfire B309</t>
  </si>
  <si>
    <t>B309</t>
  </si>
  <si>
    <t>Bertschi, Isaac</t>
  </si>
  <si>
    <t>Trace Gas and Particle Emissions from Fires in Large-Diameter and Belowground Biomass Fuels</t>
  </si>
  <si>
    <t>Journal of Geophysical Research- Atmospheres  (Special Issue on SAFARI 2000)</t>
  </si>
  <si>
    <t>Laboratory, Ground</t>
  </si>
  <si>
    <t>Blue Mountain Missoula, MT</t>
  </si>
  <si>
    <t>Mixture of Softwood/Duff/Organic Soil</t>
  </si>
  <si>
    <t>Stump</t>
  </si>
  <si>
    <t xml:space="preserve">Northwest Territories, Canada </t>
  </si>
  <si>
    <t>Duff/Organic Soil</t>
  </si>
  <si>
    <t>Pinus Banksiana</t>
  </si>
  <si>
    <t>Picea Mariana</t>
  </si>
  <si>
    <t>NWT 2</t>
  </si>
  <si>
    <t>Lolo National Forest</t>
  </si>
  <si>
    <t>Lodge Pine</t>
  </si>
  <si>
    <t>Sub-Alphine Fir</t>
  </si>
  <si>
    <t>Lolo 1</t>
  </si>
  <si>
    <t>Lolo  Pass, Montana</t>
  </si>
  <si>
    <t>Pinus Contorta</t>
  </si>
  <si>
    <t>Abies Lasiocarpa</t>
  </si>
  <si>
    <t>Lolo 2</t>
  </si>
  <si>
    <t>Lolo 3</t>
  </si>
  <si>
    <t xml:space="preserve">Fort Providence </t>
  </si>
  <si>
    <t>Jack Pine</t>
  </si>
  <si>
    <t>Black Spruce</t>
  </si>
  <si>
    <t>NWT 1</t>
  </si>
  <si>
    <t xml:space="preserve">USDA FSL Missoula, Mountana </t>
  </si>
  <si>
    <t>Hardwood Logs</t>
  </si>
  <si>
    <t xml:space="preserve">Black Cottonwood, </t>
  </si>
  <si>
    <t>Populus Balsamifera</t>
  </si>
  <si>
    <t>Cottonwood Log 2</t>
  </si>
  <si>
    <t xml:space="preserve">Wooded Savanna, Wester Central Zambia, Africa </t>
  </si>
  <si>
    <t xml:space="preserve">Julbernardia globiflora </t>
  </si>
  <si>
    <t>Brachystegia sp.</t>
  </si>
  <si>
    <t>Zambia Log</t>
  </si>
  <si>
    <t>Plum Creek, Inc. Timberland</t>
  </si>
  <si>
    <t>Softwood Debris</t>
  </si>
  <si>
    <t>Larch, Ponderosa Pine</t>
  </si>
  <si>
    <t>Douglas Fir</t>
  </si>
  <si>
    <t>PC 1</t>
  </si>
  <si>
    <t xml:space="preserve">Seeley Lake, Montana </t>
  </si>
  <si>
    <t>Larix occidentalis, Pinus sp.</t>
  </si>
  <si>
    <t xml:space="preserve">pseudotsuga menziesii </t>
  </si>
  <si>
    <t>PC 2</t>
  </si>
  <si>
    <t>An Evaluation of the Carbon Balance Technique for Estimating Emission Factors and Fuel Consumption in Forest Fires</t>
  </si>
  <si>
    <t xml:space="preserve">72nd Annual Meeting of the Air Pollution Control Association </t>
  </si>
  <si>
    <t>Southern Forest Fire Laboratory, Macon , Georgia</t>
  </si>
  <si>
    <t>Newly fallen slash  pine needles</t>
  </si>
  <si>
    <t>Pinus elliottii</t>
  </si>
  <si>
    <t>Headfire, CO2-1</t>
  </si>
  <si>
    <t>Headfire, CO2-2</t>
  </si>
  <si>
    <t>Headfire, CO2-3</t>
  </si>
  <si>
    <t>Headfire, CO2-4</t>
  </si>
  <si>
    <t>Headfire, CO2-5</t>
  </si>
  <si>
    <t>Headfire, CO2-6</t>
  </si>
  <si>
    <t>Headfire, CO2-7</t>
  </si>
  <si>
    <t>Headfire, CO2-8</t>
  </si>
  <si>
    <t>Headfire, CO2-9</t>
  </si>
  <si>
    <t>Backfire, CO2-10</t>
  </si>
  <si>
    <t>Backfire, CO2-11</t>
  </si>
  <si>
    <t>Backfire, CO2-12</t>
  </si>
  <si>
    <t>Backfire, CO2-13</t>
  </si>
  <si>
    <t>Backfire, CO2-14</t>
  </si>
  <si>
    <t>Backfire, CO2-15</t>
  </si>
  <si>
    <t>Backfire, CO2-16</t>
  </si>
  <si>
    <t>Backfire, CO2-17</t>
  </si>
  <si>
    <t>Backfire, CO2-18</t>
  </si>
  <si>
    <t>Emissions of Formaldehyde, Acetic Acid, Methanol, and other Trace Gases from Biomass Fires in North Carolina measured by Airborne Fourier Transform Infrared Spectroscopy</t>
  </si>
  <si>
    <t>Journal of Geophysical Research, Vol. 104, No. D23: 30109-30125</t>
  </si>
  <si>
    <t>Camp Lejeune, NC</t>
  </si>
  <si>
    <t>southeast forest</t>
  </si>
  <si>
    <t>Pine</t>
  </si>
  <si>
    <t>oak</t>
  </si>
  <si>
    <t>mixed hardwood</t>
  </si>
  <si>
    <t>Airborne Observations of Biomass Fires</t>
  </si>
  <si>
    <t xml:space="preserve">Final Report to the National Institute of Standards and Technology </t>
  </si>
  <si>
    <t>Eagle (prescribed)</t>
  </si>
  <si>
    <t>Los Angeles, CA</t>
  </si>
  <si>
    <t>Lodi 1 (prescribed)</t>
  </si>
  <si>
    <t>Lodi 2 (prescribed)</t>
  </si>
  <si>
    <t>Debris from Jack Pine, Standing Aspen and Paper Brich</t>
  </si>
  <si>
    <t>Hardiman (prescribed)</t>
  </si>
  <si>
    <t>Roseburb, OR</t>
  </si>
  <si>
    <t>Standing pine, brush and Douglas Fir</t>
  </si>
  <si>
    <t>Myrtle/Fall Creek  (Wildfire)</t>
  </si>
  <si>
    <t>17-19 Sep 87</t>
  </si>
  <si>
    <t>Douglas Fire, True Fir and Hemlock</t>
  </si>
  <si>
    <t>Silver (Wildfire)</t>
  </si>
  <si>
    <t>Battersby (prescribed)</t>
  </si>
  <si>
    <t>"Chained" and Herbicidal Paper Birch and Poplar</t>
  </si>
  <si>
    <t>Hill (prescribed)</t>
  </si>
  <si>
    <t>"Chained" and Herbicidal Paper Birch, Poplar and Mixed Hardwoods</t>
  </si>
  <si>
    <t>wicksteed (prescribed)</t>
  </si>
  <si>
    <t xml:space="preserve">Kelowna, B.C, CA (Canada) </t>
  </si>
  <si>
    <t xml:space="preserve">Debris from Hemlock, Deciduous, Douglas Fir </t>
  </si>
  <si>
    <t>Mabel Lake (prescribed)</t>
  </si>
  <si>
    <t>Mickler, M. D.</t>
  </si>
  <si>
    <t>Development and Demonstration of Smoke Plume, Fire Emissions, and Pre-and Post prescribed Fire Models on North Carolina Coastal Plain Forest Ecosystems</t>
  </si>
  <si>
    <t xml:space="preserve">The Fire Environment Innovations, Management, and Policy, Conference Proceedings </t>
  </si>
  <si>
    <t xml:space="preserve">The Fire Environment Innovations, Management and Policy Conference Proceedings </t>
  </si>
  <si>
    <t>Lobolly pine, Pond pine, Blackgum-maple</t>
  </si>
  <si>
    <t>Fl</t>
  </si>
  <si>
    <t>Sm</t>
  </si>
  <si>
    <t>Hays, Michael D.</t>
  </si>
  <si>
    <t>Speciation of Gas-Phase and Fine Particle Emissions from Burning of Foliar Fuels</t>
  </si>
  <si>
    <t>Environmental Science &amp; Technology Vol.36, No.11</t>
  </si>
  <si>
    <t xml:space="preserve">National Risk Management Research Laboratory, U.S. Environmental protection Agency </t>
  </si>
  <si>
    <t>Loblolly Pine</t>
  </si>
  <si>
    <t>Duke Forest, Durham, NC</t>
  </si>
  <si>
    <t>Nitrogen Oxides from Burning Forest Fuels Examined by Thermogravimetry and Evolved Gas Analysis</t>
  </si>
  <si>
    <t>Thermochimica Acta, 35: p133-139</t>
  </si>
  <si>
    <t>Airborne Monitoring and Smoke Characterization of Prescribed Fires on Forest Lands in Western Washington and Oregon: Final Report</t>
  </si>
  <si>
    <t>General Technical Report PNW-GTR-251</t>
  </si>
  <si>
    <t>University of Washington, Department of Atmospheric Sciences, Seattle</t>
  </si>
  <si>
    <t>July23-Oct 5, 1982</t>
  </si>
  <si>
    <t>Washington</t>
  </si>
  <si>
    <t>Fritschen, Leo</t>
  </si>
  <si>
    <t>Slash Fire Atmospheric Pollution</t>
  </si>
  <si>
    <t>USDA Forest Service Research Paper PNW-97</t>
  </si>
  <si>
    <t>College of Forest Resources, Institute of Forest Products</t>
  </si>
  <si>
    <t>western Hemlock</t>
  </si>
  <si>
    <t>Tsuga heterophylla</t>
  </si>
  <si>
    <t>western Hemlock 1</t>
  </si>
  <si>
    <t>western Hemlock wood</t>
  </si>
  <si>
    <t>western Hemlock 2</t>
  </si>
  <si>
    <t>Douglas-fir wood</t>
  </si>
  <si>
    <t>Pseudotsuga menziesii</t>
  </si>
  <si>
    <t>Douglas-fir 1</t>
  </si>
  <si>
    <t>western redcedar slash</t>
  </si>
  <si>
    <t>Thuja plicata</t>
  </si>
  <si>
    <t>western redcedar slash 1</t>
  </si>
  <si>
    <t>western redcedar slash wood</t>
  </si>
  <si>
    <t>western redcedar slash 2</t>
  </si>
  <si>
    <t>Ward, Tony J.</t>
  </si>
  <si>
    <t>The Missoula Valley Semivolatile and Volatile Organic Compound Study: Seasonal Average Concentrations</t>
  </si>
  <si>
    <t>Journal of the Air &amp;Waste Management Asscocioation 55:1007-1013</t>
  </si>
  <si>
    <t>The University of Montana, Center for Environmental Health Sciences</t>
  </si>
  <si>
    <t>field</t>
  </si>
  <si>
    <t>year 2000</t>
  </si>
  <si>
    <t>Urban Boyd Park Site and Frenchtown sampling site</t>
  </si>
  <si>
    <t>Long, Russell W.</t>
  </si>
  <si>
    <t>Continuous Determination of Fine Particulate matter Mass the Salt Lake City Environmental Monitoring Project: A Comparison of Real-Time and Conventional TEOM Monitor Result</t>
  </si>
  <si>
    <t>Journal of the Air &amp;Waste Management Asscocioation 55:1839-1846</t>
  </si>
  <si>
    <t>Department of Chemistry and Biochemistry, E114 Benson Building</t>
  </si>
  <si>
    <t>December 1999 to February 2002</t>
  </si>
  <si>
    <t>Environmental Monitoring fpr Public Awareness and Cimmunity Tracking (EMPACT) Hawthorne site</t>
  </si>
  <si>
    <t>R4</t>
  </si>
  <si>
    <t xml:space="preserve">UT </t>
  </si>
  <si>
    <t>Robinson, Marin S.</t>
  </si>
  <si>
    <t>Chemical Speciation of PM2.5 Collected during Prescribed Fires of the Coconino National Forest near Flagstaff, Arizona</t>
  </si>
  <si>
    <t>Journal of the Air &amp;Waste Management Asscocioation 54:1112-1123</t>
  </si>
  <si>
    <t>Department of Chemistry and Biochemistry, Northern Arizona University</t>
  </si>
  <si>
    <t>October and November in year 2001 and 2002</t>
  </si>
  <si>
    <t xml:space="preserve">Peaks Ranger District of the Coconino National Forest Service </t>
  </si>
  <si>
    <t>R3</t>
  </si>
  <si>
    <t>AZ</t>
  </si>
  <si>
    <t>Radke, L.F.</t>
  </si>
  <si>
    <t>Airborne Studies of Particles and Gases from Forest Fires</t>
  </si>
  <si>
    <t>Journal of the Air Control Association, Vol. 28, No. 1</t>
  </si>
  <si>
    <t>Burling, I. R.</t>
  </si>
  <si>
    <t>Laboratory measurments of trace gas emissions from biomass burning of fuel types from the southeastern and southwestern United States</t>
  </si>
  <si>
    <t>Atmospheric Chemistry and Physics, Vol 10: 11115-11130</t>
  </si>
  <si>
    <t>USFS Missoula</t>
  </si>
  <si>
    <t>FSL - Missoula</t>
  </si>
  <si>
    <t>Fort Hunter-Liggett, CA</t>
  </si>
  <si>
    <t>ceanothus</t>
  </si>
  <si>
    <t>Ceanothus leucodermis</t>
  </si>
  <si>
    <t>chamise/scrub oak</t>
  </si>
  <si>
    <t>Quercus berberidifolia</t>
  </si>
  <si>
    <t>Vandenberg AFB, CA</t>
  </si>
  <si>
    <t>California sagebrush</t>
  </si>
  <si>
    <t xml:space="preserve">Artemisia californica </t>
  </si>
  <si>
    <t>Ericameria ericoides</t>
  </si>
  <si>
    <t>coastal sage scrub</t>
  </si>
  <si>
    <t>Salvia mellifera</t>
  </si>
  <si>
    <t>Ericameria ericoides, Artemisia californica</t>
  </si>
  <si>
    <t>manzanita</t>
  </si>
  <si>
    <t xml:space="preserve">Arctostaphylos rudis </t>
  </si>
  <si>
    <t>Arctostaphylos purissima</t>
  </si>
  <si>
    <t>maritime chaparral</t>
  </si>
  <si>
    <t xml:space="preserve">Ceanothus impressus var. impressus </t>
  </si>
  <si>
    <t>C. cuneatus var. fascicularis,  Salvia mellifera</t>
  </si>
  <si>
    <t>Fort Huachuca, AZ</t>
  </si>
  <si>
    <t>masticated mesquite</t>
  </si>
  <si>
    <t>Prosopis velutina Baccharis sarothroides</t>
  </si>
  <si>
    <t>oak savanna</t>
  </si>
  <si>
    <t xml:space="preserve">Quercus emoryi </t>
  </si>
  <si>
    <t>Eragrostis lehmanniana</t>
  </si>
  <si>
    <t>oak woodland</t>
  </si>
  <si>
    <t>Arctostaphylos pungens</t>
  </si>
  <si>
    <t>Fort Benning, GA</t>
  </si>
  <si>
    <t>pine litter</t>
  </si>
  <si>
    <t>1 year herbaceous</t>
  </si>
  <si>
    <t>2 year herbaceous</t>
  </si>
  <si>
    <t>pocosin</t>
  </si>
  <si>
    <t>Lyonia  lucida</t>
  </si>
  <si>
    <t>Ilex glabra</t>
  </si>
  <si>
    <t>chipped understory hardwood</t>
  </si>
  <si>
    <t xml:space="preserve">Acer rubrum </t>
  </si>
  <si>
    <t>Persea borbonia, Gordonia lasianthus</t>
  </si>
  <si>
    <t>understory hardwood</t>
  </si>
  <si>
    <t xml:space="preserve">Acer rubrum Persea borbonia </t>
  </si>
  <si>
    <t xml:space="preserve">Persea borbonia, Gordonia lasianthus </t>
  </si>
  <si>
    <t>Alaska</t>
  </si>
  <si>
    <t>duff</t>
  </si>
  <si>
    <t>Montana</t>
  </si>
  <si>
    <t>spruce branches</t>
  </si>
  <si>
    <t>Picea engelmannii</t>
  </si>
  <si>
    <t>ponderosa pine needles</t>
  </si>
  <si>
    <t>Pinus ponderosa</t>
  </si>
  <si>
    <t>Airborne and ground-based measurements of the trace gases and particles emitted by prescribed fires in the United States</t>
  </si>
  <si>
    <t>Atmospheric Chemistry and Physics, Vol 10: 12197-12216</t>
  </si>
  <si>
    <t>Air</t>
  </si>
  <si>
    <t>Feb 11 2010</t>
  </si>
  <si>
    <t>Conifer forest understory</t>
  </si>
  <si>
    <t>Camp Lejeune IA</t>
  </si>
  <si>
    <t>Feb 12 2010</t>
  </si>
  <si>
    <t>Wilmington, NC</t>
  </si>
  <si>
    <t>Grass, conifer forest understory</t>
  </si>
  <si>
    <t>Little Florida 1</t>
  </si>
  <si>
    <t>Little Florida 2</t>
  </si>
  <si>
    <t>Feb 15 2010</t>
  </si>
  <si>
    <t>Conifer forest understory/grass airstrip</t>
  </si>
  <si>
    <t>Bear Pen ME</t>
  </si>
  <si>
    <t>Mar 1 2010</t>
  </si>
  <si>
    <t>Masticated, resprouted shrubs/ untireated conifer forest understory</t>
  </si>
  <si>
    <t>Camp Lejeune,</t>
  </si>
  <si>
    <t>Mar 5 2010</t>
  </si>
  <si>
    <t>Pine litter/ limited shrub</t>
  </si>
  <si>
    <t xml:space="preserve">Holly Shelter </t>
  </si>
  <si>
    <t>Nov 10 2009</t>
  </si>
  <si>
    <t>Fresno, CA</t>
  </si>
  <si>
    <t>Sierra mixed conifer with shrub understory</t>
  </si>
  <si>
    <t>Turtle pine burns</t>
  </si>
  <si>
    <t xml:space="preserve">Conifer forest understory </t>
  </si>
  <si>
    <t>Shaver</t>
  </si>
  <si>
    <t>Nov 5 2009</t>
  </si>
  <si>
    <t>Coastal sage scrub/ grass</t>
  </si>
  <si>
    <t>Test fire Grant A</t>
  </si>
  <si>
    <t>Nov 11 2009</t>
  </si>
  <si>
    <t>Grant A</t>
  </si>
  <si>
    <t>Maritime chaparral/ grass</t>
  </si>
  <si>
    <t>Grant B</t>
  </si>
  <si>
    <t>Nov 17 2009</t>
  </si>
  <si>
    <t>Buellton, CA</t>
  </si>
  <si>
    <t>Coastal Maritime chaparral</t>
  </si>
  <si>
    <t>Williams</t>
  </si>
  <si>
    <t>Nov 18 2009</t>
  </si>
  <si>
    <t>Ventura, CA</t>
  </si>
  <si>
    <t>Coastal sage scrub</t>
  </si>
  <si>
    <t>Atmore</t>
  </si>
  <si>
    <t>Mar 29 2010</t>
  </si>
  <si>
    <t>Sierra Vista, AZ</t>
  </si>
  <si>
    <t>Emory oak savanna</t>
  </si>
  <si>
    <t>Fort Huachua T2</t>
  </si>
  <si>
    <t>Ground</t>
  </si>
  <si>
    <t>March 1 2010</t>
  </si>
  <si>
    <t>Dead stump</t>
  </si>
  <si>
    <t>CL-Unit ME 1</t>
  </si>
  <si>
    <t>CL-Unit ME 2</t>
  </si>
  <si>
    <t>CL-Unit ME 3</t>
  </si>
  <si>
    <t>CL-Unit ME 4</t>
  </si>
  <si>
    <t>Base of living tree</t>
  </si>
  <si>
    <t>CL-Unit ME 5</t>
  </si>
  <si>
    <t>March 5 2010</t>
  </si>
  <si>
    <t>Holly Shelter 1</t>
  </si>
  <si>
    <t>Holly Shelter  2</t>
  </si>
  <si>
    <t>Understory shrubs</t>
  </si>
  <si>
    <t>Holly Shelter  3</t>
  </si>
  <si>
    <t>Holly Shelter 4</t>
  </si>
  <si>
    <t>Holly Shelter 5</t>
  </si>
  <si>
    <t>McMeeking, Gavin R.</t>
  </si>
  <si>
    <t>Emissions of trace gases and aerosols during the open combustion of biomass in the laboratory</t>
  </si>
  <si>
    <t>Journal of Geophysical Research, Vol. 114 D19210, doi:1029/2009JD011836</t>
  </si>
  <si>
    <t>U Manchester, UK</t>
  </si>
  <si>
    <t>2006, 2007</t>
  </si>
  <si>
    <t>Athens, GA</t>
  </si>
  <si>
    <t>Kudzu</t>
  </si>
  <si>
    <t>Turkey oak</t>
  </si>
  <si>
    <t>Missoula, Mt</t>
  </si>
  <si>
    <t>St. Marks NWR, FL</t>
  </si>
  <si>
    <t>Black needlerush</t>
  </si>
  <si>
    <t>MS, FL</t>
  </si>
  <si>
    <t>Longleaf pine</t>
  </si>
  <si>
    <t>Cameron Prairie NWR, LA</t>
  </si>
  <si>
    <t>Common reed</t>
  </si>
  <si>
    <t>Montana- ponderosa pine, lodgpole pine, douglas-fir</t>
  </si>
  <si>
    <t>Montane</t>
  </si>
  <si>
    <t>Utah, Missoula, MT</t>
  </si>
  <si>
    <t>Ponderosa pine</t>
  </si>
  <si>
    <t>Big Branch NWR, LA</t>
  </si>
  <si>
    <t>Swamp sawgrass</t>
  </si>
  <si>
    <t>San Jacinto, CA</t>
  </si>
  <si>
    <t>Coastal plain- longleaf pine, saw palmetto, gallberry, titi, sawgrass, wiregrass, black needlerush</t>
  </si>
  <si>
    <t>Coastal plain</t>
  </si>
  <si>
    <t>Gallberry</t>
  </si>
  <si>
    <t>Rangeland- big sagebrush, rabbitbrush, juniper</t>
  </si>
  <si>
    <t>Rangeland</t>
  </si>
  <si>
    <t>Oak</t>
  </si>
  <si>
    <t>Lodgepole pine</t>
  </si>
  <si>
    <t>Tok, AK</t>
  </si>
  <si>
    <t>Alaskan duff</t>
  </si>
  <si>
    <t>Boreal forest- white spruce, black spruce, duff</t>
  </si>
  <si>
    <t>Boreal forest</t>
  </si>
  <si>
    <t>Hillsborough, NC</t>
  </si>
  <si>
    <t>Hickory</t>
  </si>
  <si>
    <t>Wax myrtle</t>
  </si>
  <si>
    <t>Douliou City, Taiwan</t>
  </si>
  <si>
    <t>Rice straw</t>
  </si>
  <si>
    <t>Chaparral- chamise, ceanothus, manzanita</t>
  </si>
  <si>
    <t>Palmetto</t>
  </si>
  <si>
    <t>Black spruce</t>
  </si>
  <si>
    <t>Other peltophorum, sacky sac bean, fern, rice straw, sugarcane</t>
  </si>
  <si>
    <t>Other</t>
  </si>
  <si>
    <t>Hoaryleaf ceanothus</t>
  </si>
  <si>
    <t>MS, FL, NC</t>
  </si>
  <si>
    <t>Wiregrass</t>
  </si>
  <si>
    <t>Wire grass</t>
  </si>
  <si>
    <t>White spruce</t>
  </si>
  <si>
    <t>Utah</t>
  </si>
  <si>
    <t>UT</t>
  </si>
  <si>
    <t>Utah Juniper</t>
  </si>
  <si>
    <t>Juniper</t>
  </si>
  <si>
    <t>Puerto Rico</t>
  </si>
  <si>
    <t>Puerto Rican fern</t>
  </si>
  <si>
    <t>Fern</t>
  </si>
  <si>
    <t>Rhododendron</t>
  </si>
  <si>
    <t>Gray's Rabbitbrush</t>
  </si>
  <si>
    <t>Rabbitbrush</t>
  </si>
  <si>
    <t>Montana grass</t>
  </si>
  <si>
    <t>Titi</t>
  </si>
  <si>
    <t>PR mixed woods</t>
  </si>
  <si>
    <t>Guangdon Province, China</t>
  </si>
  <si>
    <t>Sugarcane</t>
  </si>
  <si>
    <t>White, Jerry D.</t>
  </si>
  <si>
    <t>Emission Rates of Carbon Monoxide, Particulate Matter, and Benzo(a)pyrene from Prescribed Buring of Fine Southern Fuels</t>
  </si>
  <si>
    <t>Southeastern Forest Experiment Station Research Note SE-346</t>
  </si>
  <si>
    <t>Pine-harwood</t>
  </si>
  <si>
    <t>Pine-grass</t>
  </si>
  <si>
    <t>Pine-palmetto</t>
  </si>
  <si>
    <t>Urbanski, Shawn P.</t>
  </si>
  <si>
    <t>Chemical Composition of Wildland Fire Emissions, Chapter 4</t>
  </si>
  <si>
    <t>Developments in Environmental Science, vol. 8: 79-107</t>
  </si>
  <si>
    <t>March, 1996</t>
  </si>
  <si>
    <t>Savanna River Forest</t>
  </si>
  <si>
    <t>SC</t>
  </si>
  <si>
    <t>SC6</t>
  </si>
  <si>
    <t>October, 1993</t>
  </si>
  <si>
    <t>Limestone Flats, AZ</t>
  </si>
  <si>
    <t>southwest forest</t>
  </si>
  <si>
    <t>AZ2</t>
  </si>
  <si>
    <t>Chimney Springs, AZ</t>
  </si>
  <si>
    <t>AZ5</t>
  </si>
  <si>
    <t>AZ12</t>
  </si>
  <si>
    <t>May, 1994</t>
  </si>
  <si>
    <t>Hepner Rd, OR</t>
  </si>
  <si>
    <t>northwest forest</t>
  </si>
  <si>
    <t xml:space="preserve">Ponderosa Pine </t>
  </si>
  <si>
    <t>Douglas / White fir</t>
  </si>
  <si>
    <t>OR1</t>
  </si>
  <si>
    <t>Bitterroot NF, MT</t>
  </si>
  <si>
    <t>MT4</t>
  </si>
  <si>
    <t>April, 1995</t>
  </si>
  <si>
    <t>Bluestern Prairie, MN</t>
  </si>
  <si>
    <t>MN</t>
  </si>
  <si>
    <t>wetland grass</t>
  </si>
  <si>
    <t>MN2</t>
  </si>
  <si>
    <t>May, 1996</t>
  </si>
  <si>
    <t>Camp Lejeune</t>
  </si>
  <si>
    <t>NC3</t>
  </si>
  <si>
    <t>Sumter NF</t>
  </si>
  <si>
    <t>Mixed Pine</t>
  </si>
  <si>
    <t>SC7</t>
  </si>
  <si>
    <t>January, 1996</t>
  </si>
  <si>
    <t>Okefenokee NWR</t>
  </si>
  <si>
    <t>palmetto</t>
  </si>
  <si>
    <t>FL5</t>
  </si>
  <si>
    <t>OR3</t>
  </si>
  <si>
    <t>Ichauway, GA</t>
  </si>
  <si>
    <t>ICI2</t>
  </si>
  <si>
    <t>October, 1994</t>
  </si>
  <si>
    <t>AZ8</t>
  </si>
  <si>
    <t>February, 1996</t>
  </si>
  <si>
    <t>Longleaf Pine</t>
  </si>
  <si>
    <t>SC5</t>
  </si>
  <si>
    <t>wiregrass</t>
  </si>
  <si>
    <t>ICI3</t>
  </si>
  <si>
    <t>MT2</t>
  </si>
  <si>
    <t>November, 1994</t>
  </si>
  <si>
    <t>AZ10</t>
  </si>
  <si>
    <t>OR2</t>
  </si>
  <si>
    <t>Piedmont NWR</t>
  </si>
  <si>
    <t>Oak, Pine, Grass</t>
  </si>
  <si>
    <t>SC12b</t>
  </si>
  <si>
    <t>November, 1993</t>
  </si>
  <si>
    <t>Peaks RD, AZ</t>
  </si>
  <si>
    <t>AZ6</t>
  </si>
  <si>
    <t>AZ9</t>
  </si>
  <si>
    <t>SC12a</t>
  </si>
  <si>
    <t>SC1</t>
  </si>
  <si>
    <t>AZ4</t>
  </si>
  <si>
    <t>ICI1</t>
  </si>
  <si>
    <t>AZ7</t>
  </si>
  <si>
    <t>May, 1993</t>
  </si>
  <si>
    <t>MT1</t>
  </si>
  <si>
    <t>SC4</t>
  </si>
  <si>
    <t>Mormon Lake Rd, AZ</t>
  </si>
  <si>
    <t>AZ3</t>
  </si>
  <si>
    <t>April, 1996</t>
  </si>
  <si>
    <t>Eglin AFB</t>
  </si>
  <si>
    <t>sandhill</t>
  </si>
  <si>
    <t>EB1</t>
  </si>
  <si>
    <t>Sherburne NWP</t>
  </si>
  <si>
    <t>MN3</t>
  </si>
  <si>
    <t>MT3</t>
  </si>
  <si>
    <t>May, 1995</t>
  </si>
  <si>
    <t>Chippewa NF</t>
  </si>
  <si>
    <t>redpine</t>
  </si>
  <si>
    <t>MN6</t>
  </si>
  <si>
    <t xml:space="preserve">SC8  </t>
  </si>
  <si>
    <t>SC3</t>
  </si>
  <si>
    <t>Osceola NF</t>
  </si>
  <si>
    <t>Palmetto, Gallberry</t>
  </si>
  <si>
    <t>FL2</t>
  </si>
  <si>
    <t>FL4</t>
  </si>
  <si>
    <t>Wax Myrtle</t>
  </si>
  <si>
    <t>NC1</t>
  </si>
  <si>
    <t>Camp Ripley, MN</t>
  </si>
  <si>
    <t>MN4b</t>
  </si>
  <si>
    <t xml:space="preserve">oak </t>
  </si>
  <si>
    <t>MN5</t>
  </si>
  <si>
    <t>FL1</t>
  </si>
  <si>
    <t>Merritt Island NWR</t>
  </si>
  <si>
    <t>MI1</t>
  </si>
  <si>
    <t>Fort Stewart</t>
  </si>
  <si>
    <t>FS1</t>
  </si>
  <si>
    <t>Panther NWR Everglades, FL</t>
  </si>
  <si>
    <t>sawgrass</t>
  </si>
  <si>
    <t>EP1</t>
  </si>
  <si>
    <t>SC9</t>
  </si>
  <si>
    <t>turkey oak</t>
  </si>
  <si>
    <t>EB2</t>
  </si>
  <si>
    <t>AZ11</t>
  </si>
  <si>
    <t>Big Cypress National Preserve, FL</t>
  </si>
  <si>
    <t>EP2A</t>
  </si>
  <si>
    <t>MN1</t>
  </si>
  <si>
    <t>muley</t>
  </si>
  <si>
    <t>EP2B</t>
  </si>
  <si>
    <t>MN4a</t>
  </si>
  <si>
    <t>Chen, L.-W. A.</t>
  </si>
  <si>
    <t>Moisture effects on carbon and nitrogen emission from burning of wildland biomass</t>
  </si>
  <si>
    <t>Atmospheric Chemistry and Physics Discussions, 10, 7985-8007</t>
  </si>
  <si>
    <t>Desert Research Institute</t>
  </si>
  <si>
    <t>Lake Tahoe Basin, NV</t>
  </si>
  <si>
    <t>NV</t>
  </si>
  <si>
    <t>Bitterbrush, Grean Leaf Manzanita, Huckleberry Oak, Squaw Carpet</t>
  </si>
  <si>
    <t>Composite Litter ML I</t>
  </si>
  <si>
    <t>Composite Duff ML I</t>
  </si>
  <si>
    <t>Composite Soil ML I</t>
  </si>
  <si>
    <t>Bitterbrush</t>
  </si>
  <si>
    <t>Bitterbrush Leaves ML I</t>
  </si>
  <si>
    <t>BitterbrushStems ML I</t>
  </si>
  <si>
    <t>Manzanita Leaves ML I</t>
  </si>
  <si>
    <t>Manzanita Stems ML I</t>
  </si>
  <si>
    <t>Squaw Carpet</t>
  </si>
  <si>
    <t>Squaw Carpet Leaves ML I</t>
  </si>
  <si>
    <t>Squaw Carpet Stems ML I</t>
  </si>
  <si>
    <t>Composite Litter ML II</t>
  </si>
  <si>
    <t>Composite Duff ML II</t>
  </si>
  <si>
    <t>Composite Soil ML II</t>
  </si>
  <si>
    <t>Bitterbrush Leaves ML II</t>
  </si>
  <si>
    <t>BitterbrushStems ML II</t>
  </si>
  <si>
    <t>Manzanita Leaves ML II</t>
  </si>
  <si>
    <t>Manzanita Stems ML II</t>
  </si>
  <si>
    <t>Squaw Carpet Leaves ML II</t>
  </si>
  <si>
    <t>Squaw Carpet Stems ML II</t>
  </si>
  <si>
    <t>Composite Litter ML III</t>
  </si>
  <si>
    <t>Composite Duff ML III</t>
  </si>
  <si>
    <t>Composite Soil ML III</t>
  </si>
  <si>
    <t>Bitterbrush Leaves ML III</t>
  </si>
  <si>
    <t>BitterbrushStems ML III</t>
  </si>
  <si>
    <t>Manzanita Leaves ML III</t>
  </si>
  <si>
    <t>Manzanita Stems ML III</t>
  </si>
  <si>
    <t>Squaw Carpet Leaves ML III</t>
  </si>
  <si>
    <t>Squaw Carpet Stems ML III</t>
  </si>
  <si>
    <t>Andreae, M. O.</t>
  </si>
  <si>
    <t>Emission of trace Gases and Aerosols from Biomass Burning</t>
  </si>
  <si>
    <t>Global Biogeochemical Cycles, Vol. 15. No. 4: 955-966</t>
  </si>
  <si>
    <t>Max Planck Institute for Chemistry</t>
  </si>
  <si>
    <t>Synthesis report</t>
  </si>
  <si>
    <t>Extratropical Forest</t>
  </si>
  <si>
    <t>Charcoal Burning</t>
  </si>
  <si>
    <t>Biofuel Burning</t>
  </si>
  <si>
    <t>Savanna and Grassland</t>
  </si>
  <si>
    <t>Charcoal Making</t>
  </si>
  <si>
    <t>Mazzoleni, Lynn R.</t>
  </si>
  <si>
    <t>Emissions of Levoglucosan, Methoxy Phenols, and Organic Acids from Prescribed Burns, Laboratory Combustion of Wildland Fuels, and Residential Wood Combustion</t>
  </si>
  <si>
    <t>Environmental Science &amp; Technology, Vol. 41, No. 7</t>
  </si>
  <si>
    <t>White pine needles</t>
  </si>
  <si>
    <t>excelsior</t>
  </si>
  <si>
    <t>Alaskan tundra core</t>
  </si>
  <si>
    <t>TUNDRA</t>
  </si>
  <si>
    <t>Emissions from Laboratory Combustion of Wildland Fuels: Emission Factors and Source Profiles</t>
  </si>
  <si>
    <t>Environmental Science &amp; Technology, Vol. 41, No. 12</t>
  </si>
  <si>
    <t>PPWOOD</t>
  </si>
  <si>
    <t>PPNEED</t>
  </si>
  <si>
    <t>WPNEED</t>
  </si>
  <si>
    <t>SAGE</t>
  </si>
  <si>
    <t>EXCEL</t>
  </si>
  <si>
    <t>Dambo grass</t>
  </si>
  <si>
    <t>DGRASS</t>
  </si>
  <si>
    <t>MTGRASS</t>
  </si>
  <si>
    <t>Kerosene</t>
  </si>
  <si>
    <t>KERO</t>
  </si>
  <si>
    <t>Hennigan, C. J.</t>
  </si>
  <si>
    <t>Chemical and Physical Transformations of Organic Aerosol from the Photo-oxidation of Open Biomass Burning in an Environmental Chamber</t>
  </si>
  <si>
    <t>Atmospheric Chemistry and Physics, 11, 7669-7686</t>
  </si>
  <si>
    <t>Carnegie Mellon University</t>
  </si>
  <si>
    <t>Saw grass</t>
  </si>
  <si>
    <t xml:space="preserve">Sage </t>
  </si>
  <si>
    <t>Sage</t>
  </si>
  <si>
    <t>Pocosin</t>
  </si>
  <si>
    <t>CO2 Data</t>
  </si>
  <si>
    <t>CO Data</t>
  </si>
  <si>
    <t>CH4 Data</t>
  </si>
  <si>
    <t>units are in g/kg-C-burned, therefore convert to g/kg-fuel-consumed</t>
  </si>
  <si>
    <t>Combustion efficiency and emission factors for wildfire-season fires</t>
  </si>
  <si>
    <t>Aurell</t>
  </si>
  <si>
    <t>Emissions from Southeastern U.S. Grasslands and Pine Savannas: Comparison of Aerial and Ground Field Measurements with Laboratory Burns</t>
  </si>
  <si>
    <t>Geron</t>
  </si>
  <si>
    <t>Air emissions from organic soil burning on the coastal plain of North Carolina</t>
  </si>
  <si>
    <t>Smoke Emissions from Prescribed Burning of Southern California Chaparral</t>
  </si>
  <si>
    <t>Simpson</t>
  </si>
  <si>
    <t>Boreal forest fire emissions in fresh Canadian smoke plumes</t>
  </si>
  <si>
    <t>Akagi</t>
  </si>
  <si>
    <t>Reactive trace gases and variable O3 formation rates</t>
  </si>
  <si>
    <t>Nance</t>
  </si>
  <si>
    <t>Emissions from an Alaskan Wildfire</t>
  </si>
  <si>
    <t>Lee</t>
  </si>
  <si>
    <t>Gaseous and Particulate Emissions from Prescribed Burning in Georgia</t>
  </si>
  <si>
    <t>Strand</t>
  </si>
  <si>
    <t>Sub-canopy transport and dispersion of smoke</t>
  </si>
  <si>
    <t>Hobbs</t>
  </si>
  <si>
    <t>Particle and Trace-Gas Measurements in the Smoke from Prescribed Burns of Forest Products in the Pacific Northwest</t>
  </si>
  <si>
    <t>Idaho</t>
  </si>
  <si>
    <t>North Fork Rx Fire</t>
  </si>
  <si>
    <t>Big Salmon Lake Fire (Wildfire)</t>
  </si>
  <si>
    <t>Engelmann spruce/Subalpie fir (39%), Lodgepole Pine (27%), Douglas Fir (24%), Grand Fir (10%)</t>
  </si>
  <si>
    <t>Lodgepole Pine (38%), Douglas Fir (33%), Engelmann Spruce/Subalpine Fir (24%), Whitebark Pine (5%)</t>
  </si>
  <si>
    <t>Lodgepole Pine (51%), Douglas Fir (40%), Engelmann Spruce/Subalpine Fir (9%)</t>
  </si>
  <si>
    <t>Hammer Creek Fire (Wildfire)</t>
  </si>
  <si>
    <t>Saddle Complex Fire (Wildfire)</t>
  </si>
  <si>
    <t>Lodgepole Pine (47%), Douglas Fir (38%), Engelmann Spruce/Subalpine Fir (15%)</t>
  </si>
  <si>
    <t>Aurell, Johanna</t>
  </si>
  <si>
    <t>Field, Aerostat</t>
  </si>
  <si>
    <t>Field, OBTF</t>
  </si>
  <si>
    <t>RxCADRE Grass (grass/forb/shrub)</t>
  </si>
  <si>
    <t>RxCADRE Forest (grass/forb/shrub/woody debris)</t>
  </si>
  <si>
    <t xml:space="preserve">note: wildfire Efs. Gives ranges over N samples. Not used. </t>
  </si>
  <si>
    <t>Simpson, I.J.</t>
  </si>
  <si>
    <t>Canada</t>
  </si>
  <si>
    <t>Boreal Forest (wildfire)</t>
  </si>
  <si>
    <t>Nance, J. David</t>
  </si>
  <si>
    <t>Black Spruce (wildire)</t>
  </si>
  <si>
    <t>Lee, Sangil</t>
  </si>
  <si>
    <t>Southern Pine</t>
  </si>
  <si>
    <t>Akagi, S.K.</t>
  </si>
  <si>
    <t>Mature long leaf pine (block 6)</t>
  </si>
  <si>
    <t>Mature long leaf pine, sparkleberry (block9b)</t>
  </si>
  <si>
    <t>Mature long leaf and lobloly pine and oak (block 22b)</t>
  </si>
  <si>
    <t>Loblolly pine debris</t>
  </si>
  <si>
    <t>SC coastal grass understory fire</t>
  </si>
  <si>
    <t>Longleaf pine, wiregrass</t>
  </si>
  <si>
    <t>Longleaf/loblolly pine understory</t>
  </si>
  <si>
    <t>Strand, T.M.</t>
  </si>
  <si>
    <t>long leaf pine litter, cured and live wiregrass, American turkey oak, gallberry, regen long leaf pine in bunchgrass state, small quantity herbaceous</t>
  </si>
  <si>
    <t>W conifer - Douglas-fir western hemlock slash</t>
  </si>
  <si>
    <t>Doug Fir, Hemlock Logging debris</t>
  </si>
  <si>
    <t>Creamery</t>
  </si>
  <si>
    <t>Raymond</t>
  </si>
  <si>
    <t>W conifer - red cedar slash</t>
  </si>
  <si>
    <t>Western Red Cedar Logging debris</t>
  </si>
  <si>
    <t>Quinault</t>
  </si>
  <si>
    <t>Corral Wildfire</t>
  </si>
  <si>
    <t>Fire Type</t>
  </si>
  <si>
    <t>Group</t>
  </si>
  <si>
    <t>General Fuel Type</t>
  </si>
  <si>
    <t>W conifer</t>
  </si>
  <si>
    <t>WF</t>
  </si>
  <si>
    <t>SE pine</t>
  </si>
  <si>
    <t>SE pine- longleaf sandhill</t>
  </si>
  <si>
    <t>long leaf pine litter, wiregrass, turkey oak, gallberry</t>
  </si>
  <si>
    <t>SE grass</t>
  </si>
  <si>
    <t>SE pine - loblolly</t>
  </si>
  <si>
    <t>Loblolly debris</t>
  </si>
  <si>
    <t>SE pine - longleaf</t>
  </si>
  <si>
    <t>N conifer</t>
  </si>
  <si>
    <t>Boreal forest - black spuce</t>
  </si>
  <si>
    <t>Synthesis</t>
  </si>
  <si>
    <t>Hardy, Colin</t>
  </si>
  <si>
    <t>Bear Creek</t>
  </si>
  <si>
    <t>Newhall Crushed</t>
  </si>
  <si>
    <t>Newhall Standing</t>
  </si>
  <si>
    <t>TNC</t>
  </si>
  <si>
    <t>Ceanothus, Chamise</t>
  </si>
  <si>
    <t>Chamise (mature), crushed (fuel treatment)</t>
  </si>
  <si>
    <t>Chamise (mature)</t>
  </si>
  <si>
    <t>Chamise (young), scrub oak</t>
  </si>
  <si>
    <t>W shrub</t>
  </si>
  <si>
    <t>Chaparral - chamise</t>
  </si>
  <si>
    <t>Chaparral - chamise (crushed)</t>
  </si>
  <si>
    <t>W shrub - ceanothus</t>
  </si>
  <si>
    <t>Chaparral - maritime sage scrub</t>
  </si>
  <si>
    <t>Chaparral - maritime chamise</t>
  </si>
  <si>
    <t>Chaparral - coastal sage scrub</t>
  </si>
  <si>
    <t>N conifer - mixed</t>
  </si>
  <si>
    <t>W conifer - mixed</t>
  </si>
  <si>
    <t>Chaparral - maritime</t>
  </si>
  <si>
    <t>units lbs/ton</t>
  </si>
  <si>
    <t>units in g/kg-Carbon</t>
  </si>
  <si>
    <t>units in g-C/kg-C, g-N/kg-C, g-NO/kg-C, g-SO2,kg/C (PIA!!!!)</t>
  </si>
  <si>
    <t>Boreal forest - black spruce</t>
  </si>
  <si>
    <t>N mixedwood</t>
  </si>
  <si>
    <t>N hardwood</t>
  </si>
  <si>
    <t>Douglas-fir, true fir, hemlock</t>
  </si>
  <si>
    <t>W duff</t>
  </si>
  <si>
    <t>W conifer - forest floor</t>
  </si>
  <si>
    <t>W conifer - litter, downed wood</t>
  </si>
  <si>
    <t>W conifer - Douglas-fir litter</t>
  </si>
  <si>
    <t>W grass - Montana grass</t>
  </si>
  <si>
    <t>W conifer - ponderosa pine needles</t>
  </si>
  <si>
    <t>N grass</t>
  </si>
  <si>
    <t>Boreal grass</t>
  </si>
  <si>
    <t>N duff</t>
  </si>
  <si>
    <t>Boreal duff</t>
  </si>
  <si>
    <t>W shrub - mesquite masticated</t>
  </si>
  <si>
    <t>W hardwood</t>
  </si>
  <si>
    <t>W hardwood - oak woodland</t>
  </si>
  <si>
    <t>W hardwood - oak savanna</t>
  </si>
  <si>
    <t>Chaparral - ceanothus</t>
  </si>
  <si>
    <t>Chaparral - manzanita</t>
  </si>
  <si>
    <t>SE pine - litter</t>
  </si>
  <si>
    <t>W conifer - Engelmann spruce branches</t>
  </si>
  <si>
    <t>W conifer - ponderosa pine litter</t>
  </si>
  <si>
    <t>SE herbaceous</t>
  </si>
  <si>
    <t>SE shrub</t>
  </si>
  <si>
    <t>SE shrub - pocosin</t>
  </si>
  <si>
    <t>SE hardwood</t>
  </si>
  <si>
    <t>SE hardwood - understory</t>
  </si>
  <si>
    <t>SE hardwood - chipped understory</t>
  </si>
  <si>
    <t>SE forest - understory</t>
  </si>
  <si>
    <t>SE pine - masticated understory</t>
  </si>
  <si>
    <t>W hardwood - Emory oak</t>
  </si>
  <si>
    <t>Chaparral - maritime grass</t>
  </si>
  <si>
    <t>SE forest - understory grass</t>
  </si>
  <si>
    <t>SE pine - understory</t>
  </si>
  <si>
    <t>W conifer - Sierra mixed conifer</t>
  </si>
  <si>
    <t>SE marsh grass - black needlerush</t>
  </si>
  <si>
    <t>Boreal forest - duff, spruce</t>
  </si>
  <si>
    <t>SE pine - longleaf pine understory</t>
  </si>
  <si>
    <t>SE marsh grass - reed</t>
  </si>
  <si>
    <t>W conifer - Douglas-fir</t>
  </si>
  <si>
    <t>SE shrub - gallberry</t>
  </si>
  <si>
    <t>W range - rabbitbrush</t>
  </si>
  <si>
    <t>SE shrub - kudzu</t>
  </si>
  <si>
    <t>W conifer - lodgepole pine</t>
  </si>
  <si>
    <t>Hardwood - oak</t>
  </si>
  <si>
    <t>Tropical</t>
  </si>
  <si>
    <t>Tropical - crop</t>
  </si>
  <si>
    <t>SE shrub - palmetto</t>
  </si>
  <si>
    <t>W conifer - ponderosa pine</t>
  </si>
  <si>
    <t>Tropical - fern</t>
  </si>
  <si>
    <t>W range</t>
  </si>
  <si>
    <t>Rhodedendron</t>
  </si>
  <si>
    <t>Tropical - rice straw</t>
  </si>
  <si>
    <t>W range - sagebrush</t>
  </si>
  <si>
    <t>SE marsh grass - sawgrass</t>
  </si>
  <si>
    <t>SE marsh shrub - titi</t>
  </si>
  <si>
    <t>SE hardwood - oak</t>
  </si>
  <si>
    <t>W range - Utah juniper</t>
  </si>
  <si>
    <t>SE shrub - wax myrtle</t>
  </si>
  <si>
    <t>Note: Hegg, Radke and Laursen report same data</t>
  </si>
  <si>
    <t>Tundra</t>
  </si>
  <si>
    <t>Grass - Dambo green</t>
  </si>
  <si>
    <t>Excelsior</t>
  </si>
  <si>
    <t>W conifer - ponderosa pine wood</t>
  </si>
  <si>
    <t>W conifer - white pine litter</t>
  </si>
  <si>
    <t>SE hardwood - turkey oak</t>
  </si>
  <si>
    <t>Boreal forest - white spruce</t>
  </si>
  <si>
    <t>W shrub - bitterbrush foliage</t>
  </si>
  <si>
    <t>W shrub - bitterbrush stems</t>
  </si>
  <si>
    <t>W shrub - Sierra duff</t>
  </si>
  <si>
    <t>W shrub - Sierra litter</t>
  </si>
  <si>
    <t>W shrub - manzanita foliage</t>
  </si>
  <si>
    <t>W shrub - manzanita stems</t>
  </si>
  <si>
    <t>W shrub - Sierra soil</t>
  </si>
  <si>
    <t>W shrub - squaw carpet foliage</t>
  </si>
  <si>
    <t>W shrub - squaw carpet stems</t>
  </si>
  <si>
    <t>CE Flaming</t>
  </si>
  <si>
    <t>CE Smoldering</t>
  </si>
  <si>
    <t>CE</t>
  </si>
  <si>
    <t>MCE Flaming</t>
  </si>
  <si>
    <t>MCE Smoldering</t>
  </si>
  <si>
    <t>MCE</t>
  </si>
  <si>
    <t>EF-CH4 Flaming (g/kg)</t>
  </si>
  <si>
    <t>EF-CH4 Smoldering (g/kg)</t>
  </si>
  <si>
    <t>units of moles/kg-dm-x100</t>
  </si>
  <si>
    <t>Duplicate data: Radke 1990, 1991 and Laursen are duplicate data to Hegg. Laursen is often different from the other three.</t>
  </si>
  <si>
    <t>W conifer - slash</t>
  </si>
  <si>
    <t>CANADA</t>
  </si>
  <si>
    <t>N mixedwood - slash</t>
  </si>
  <si>
    <t>Africa data</t>
  </si>
  <si>
    <t>W conifer - western larch and pine slash</t>
  </si>
  <si>
    <t>W conifer - duff/soil</t>
  </si>
  <si>
    <t>N conifer - jack pine duff</t>
  </si>
  <si>
    <t>W hardwood - cottonwood logs</t>
  </si>
  <si>
    <t>SE pine - stump</t>
  </si>
  <si>
    <t>SE pine - understory shrubs</t>
  </si>
  <si>
    <t>Se pine - litter</t>
  </si>
  <si>
    <t>SE hardwood - hickory</t>
  </si>
  <si>
    <t>W grass</t>
  </si>
  <si>
    <t>China</t>
  </si>
  <si>
    <t>N shrub</t>
  </si>
  <si>
    <t>SE marsh grass - muley</t>
  </si>
  <si>
    <t>Se grass - wiregrass</t>
  </si>
  <si>
    <t>N conifer - Boreal forest</t>
  </si>
  <si>
    <t>W grass - wetland grass</t>
  </si>
  <si>
    <t>Note: had to do some fixing of Bertschi data (fuels descriptions, its 2003 not 2002)</t>
  </si>
  <si>
    <t>EF-CO (g/kg)</t>
  </si>
  <si>
    <t>EF-CO Smoldering (g/kg)</t>
  </si>
  <si>
    <t>EF-CO Flaming (g/kg)</t>
  </si>
  <si>
    <t>SE pine - slash pine needles</t>
  </si>
  <si>
    <t>Duplicate data to Hegg</t>
  </si>
  <si>
    <t>International</t>
  </si>
  <si>
    <t>W conifer - lodgepole pine duff</t>
  </si>
  <si>
    <t>N conifer - jack pine</t>
  </si>
  <si>
    <t>W conifer - western larch, pine slash</t>
  </si>
  <si>
    <t>SE pine - understory grass</t>
  </si>
  <si>
    <t>Downed Material</t>
  </si>
  <si>
    <t>Uncategorized</t>
  </si>
  <si>
    <t>Not using moisture levels II and III from Chen</t>
  </si>
  <si>
    <t>Se pine</t>
  </si>
  <si>
    <t>W conifer - Hemlock</t>
  </si>
  <si>
    <t>W conifer - red cedar</t>
  </si>
  <si>
    <t>SE duff</t>
  </si>
  <si>
    <t>SE duff - organic soil</t>
  </si>
  <si>
    <t>Duplicate data to Hegg, and Laursen data don't agree with the other papers even though they all report the same units (g/kg)</t>
  </si>
  <si>
    <t>These data got rearranged - separated out so that only one EF per row</t>
  </si>
  <si>
    <t>CE/MCE</t>
  </si>
  <si>
    <t>Not sure how to deal with because of no MCE - should I arbitrarily assign an approximate MCE to denote smoldering/flaming?</t>
  </si>
  <si>
    <t>F/S Flag</t>
  </si>
  <si>
    <r>
      <t xml:space="preserve">Douglas-Fir, </t>
    </r>
    <r>
      <rPr>
        <i/>
        <sz val="10"/>
        <rFont val="Arial"/>
      </rPr>
      <t>Pseudotsuga menziesii</t>
    </r>
  </si>
  <si>
    <r>
      <t xml:space="preserve">Pinegrass, </t>
    </r>
    <r>
      <rPr>
        <i/>
        <sz val="10"/>
        <rFont val="Arial"/>
      </rPr>
      <t>Calamagrotis rubesceus</t>
    </r>
  </si>
  <si>
    <t>average</t>
  </si>
  <si>
    <t>EF Smoldering</t>
  </si>
  <si>
    <t>EF Flaming</t>
  </si>
  <si>
    <t>median</t>
  </si>
  <si>
    <t>max</t>
  </si>
  <si>
    <t>min</t>
  </si>
  <si>
    <t>std</t>
  </si>
  <si>
    <t>count</t>
  </si>
  <si>
    <t>EF</t>
  </si>
  <si>
    <t>Note: Ward et al. 1992 (#94) did have CE reported for some of the fires (this was not in the SERDP spreadsheet)</t>
  </si>
  <si>
    <t>Rx only</t>
  </si>
  <si>
    <t>stdev</t>
  </si>
  <si>
    <t>note: the smoldering MCE's are very close to flaming values</t>
  </si>
  <si>
    <t>F</t>
  </si>
  <si>
    <t>S</t>
  </si>
  <si>
    <t>Ward 1984 - added CE values</t>
  </si>
  <si>
    <t>Ward 1982 - added the F/S designation in the Flaming/Smoldering column</t>
  </si>
  <si>
    <t>SE Duff</t>
  </si>
  <si>
    <t>Unit B, Smoldering</t>
  </si>
  <si>
    <t>delete this entry</t>
  </si>
  <si>
    <t>fix this entry</t>
  </si>
  <si>
    <t>Split slash out?</t>
  </si>
  <si>
    <t>Cut short term smoldering off at 0.7 or 0.8?</t>
  </si>
  <si>
    <t>could also give MCE ranges with some of this data</t>
  </si>
  <si>
    <t>Paper ideas</t>
  </si>
  <si>
    <t>give geographic descriptions - first step at map and ideas of where we have data gaps</t>
  </si>
  <si>
    <t>compare with Urbanski</t>
  </si>
  <si>
    <t>Average</t>
  </si>
  <si>
    <t>Median</t>
  </si>
  <si>
    <t>Max</t>
  </si>
  <si>
    <t>Min</t>
  </si>
  <si>
    <t>Stdev</t>
  </si>
  <si>
    <t>Count</t>
  </si>
  <si>
    <t>note: 0.8 cutpoint for smoldering</t>
  </si>
  <si>
    <t>Note: Ward #35 and #37 papers and #66 specified "F" and "S" w/o providing CE/MCE numbers - need to account for this</t>
  </si>
  <si>
    <t>talk with Susan about using MCE curves</t>
  </si>
  <si>
    <t>W shrub (or say Chaparral?)</t>
  </si>
  <si>
    <t>Note: Urbanski 2014 reports EF CO for western shrubland = 74 g/kg</t>
  </si>
  <si>
    <t>EF-CO2 Flaming (g/kg)</t>
  </si>
  <si>
    <t>EF-CO2 Smoldering (g/kg)</t>
  </si>
  <si>
    <t>EF-CO2 (g/kg)</t>
  </si>
  <si>
    <t>argh, no, should not have deleted</t>
  </si>
  <si>
    <t>Note: Urbanski 2014 reports EF CO2 for western shrubland = 1674 g/kg</t>
  </si>
  <si>
    <t>someone to help with analysis</t>
  </si>
  <si>
    <t>ui how to slice and dice</t>
  </si>
  <si>
    <t>Ann - point to lit and review/update</t>
  </si>
  <si>
    <t>fuels described wrong - should be "debris from jack pine, standing aspen, and paper birch</t>
  </si>
  <si>
    <t>CAT F</t>
  </si>
  <si>
    <t>HEBO F</t>
  </si>
  <si>
    <t>MAR1 F</t>
  </si>
  <si>
    <t>DL1 F</t>
  </si>
  <si>
    <t>DL2 F</t>
  </si>
  <si>
    <t>BE1 F</t>
  </si>
  <si>
    <t>BE2 F</t>
  </si>
  <si>
    <t>BE3 F</t>
  </si>
  <si>
    <t>WCB! F</t>
  </si>
  <si>
    <t>WCB2 F</t>
  </si>
  <si>
    <t>CAT S</t>
  </si>
  <si>
    <t>HEBO S</t>
  </si>
  <si>
    <t>MAR1 S</t>
  </si>
  <si>
    <t>MAR2 S</t>
  </si>
  <si>
    <t>DL1 S</t>
  </si>
  <si>
    <t>DL2 S</t>
  </si>
  <si>
    <t>BE1 S</t>
  </si>
  <si>
    <t>BE2 S</t>
  </si>
  <si>
    <t>BE3 S</t>
  </si>
  <si>
    <t>WCB1 S</t>
  </si>
  <si>
    <t>WCB2 S</t>
  </si>
  <si>
    <t>CAT fire avg</t>
  </si>
  <si>
    <t>HEBO fire avg</t>
  </si>
  <si>
    <t>MAR1 fire avg</t>
  </si>
  <si>
    <t>DL2 fire avg</t>
  </si>
  <si>
    <t>BE1 fire avg</t>
  </si>
  <si>
    <t>BE2 fire avg</t>
  </si>
  <si>
    <t>BE3 fire avg</t>
  </si>
  <si>
    <t xml:space="preserve">WCB1 fire avg </t>
  </si>
  <si>
    <t>WCB2 fire avg</t>
  </si>
  <si>
    <t>W conifer - ponderosa pine slash</t>
  </si>
  <si>
    <t>W conifer - mixed slash</t>
  </si>
  <si>
    <t>LL2 F</t>
  </si>
  <si>
    <t>CC1 F</t>
  </si>
  <si>
    <t>CC2 F</t>
  </si>
  <si>
    <t>LL2 S</t>
  </si>
  <si>
    <t>CC1 S</t>
  </si>
  <si>
    <t>CC2 S</t>
  </si>
  <si>
    <t>LL2 fire avg</t>
  </si>
  <si>
    <t>CC1 fire avg</t>
  </si>
  <si>
    <t>CC2 fire avg</t>
  </si>
  <si>
    <t>HESS F</t>
  </si>
  <si>
    <t>RSP F</t>
  </si>
  <si>
    <t>WHH F</t>
  </si>
  <si>
    <t>HESS S</t>
  </si>
  <si>
    <t>RSP S</t>
  </si>
  <si>
    <t>WHH S</t>
  </si>
  <si>
    <t>HESS fire avg</t>
  </si>
  <si>
    <t>RSP fire avg</t>
  </si>
  <si>
    <t>WHH fire avg</t>
  </si>
  <si>
    <t>Ward (SMG)</t>
  </si>
  <si>
    <t>W conifer - Douglas-fir western hemlock slash (F)</t>
  </si>
  <si>
    <t>W conifer - Douglas-fir western hemlock slash (S)</t>
  </si>
  <si>
    <t>W conifer - mixed slash (F)</t>
  </si>
  <si>
    <t>W conifer - mixed slash (S)</t>
  </si>
  <si>
    <t>W conifer - ponderosa pine slash (F)</t>
  </si>
  <si>
    <t>W conifer - ponderosa pine slash (S)</t>
  </si>
  <si>
    <t>W hardwood - slash</t>
  </si>
  <si>
    <t>GHA F</t>
  </si>
  <si>
    <t>EAA F</t>
  </si>
  <si>
    <t>VIC F</t>
  </si>
  <si>
    <t>CPC F</t>
  </si>
  <si>
    <t>BL1 F</t>
  </si>
  <si>
    <t>LB2 F</t>
  </si>
  <si>
    <t>LB3 F</t>
  </si>
  <si>
    <t>LB4 F</t>
  </si>
  <si>
    <t>GHA S</t>
  </si>
  <si>
    <t>EAA S</t>
  </si>
  <si>
    <t>VIC S</t>
  </si>
  <si>
    <t>CPC S</t>
  </si>
  <si>
    <t>BL1 S</t>
  </si>
  <si>
    <t>BL2 S</t>
  </si>
  <si>
    <t>LB3 S</t>
  </si>
  <si>
    <t>LB4 S</t>
  </si>
  <si>
    <t>GHA fire avg</t>
  </si>
  <si>
    <t>EAA fire avg</t>
  </si>
  <si>
    <t>VIC fire avg</t>
  </si>
  <si>
    <t>CPC fire avg</t>
  </si>
  <si>
    <t>LB1 fire avg</t>
  </si>
  <si>
    <t>LB2 fire avg</t>
  </si>
  <si>
    <t>LB3 fire avg</t>
  </si>
  <si>
    <t>LB4 fire avg</t>
  </si>
  <si>
    <t>W hardwood (F)</t>
  </si>
  <si>
    <t>W hardwood (S)</t>
  </si>
  <si>
    <t>W conifer (F)</t>
  </si>
  <si>
    <t>W conifer (S)</t>
  </si>
  <si>
    <t>note: cut short term smoldering at 0.8 MCE</t>
  </si>
  <si>
    <t>W conifer - Douglas fir (F)</t>
  </si>
  <si>
    <t>W conifer - Douglas fir (S)</t>
  </si>
  <si>
    <t>note: cut short term smoldering off at 0.8</t>
  </si>
  <si>
    <t>W conifer - mixed (F)</t>
  </si>
  <si>
    <t>W conifer - mixed (S)</t>
  </si>
  <si>
    <t>note: 8 out of 10 data points are slash</t>
  </si>
  <si>
    <t>W conifer - lodgepole pine (F)</t>
  </si>
  <si>
    <t>W conifer - lodgepole pine (S)</t>
  </si>
  <si>
    <t>W conifer - ponderosa pine (F)</t>
  </si>
  <si>
    <t>W conifer - ponderosa pine (S)</t>
  </si>
  <si>
    <t>Note: 21 out of the 24 data points are slash</t>
  </si>
  <si>
    <t>W conifer - red cedar (F/S)</t>
  </si>
  <si>
    <t>W conifer - slash (F)</t>
  </si>
  <si>
    <t>W conifer - slash (S)</t>
  </si>
  <si>
    <t>W conifer - WF (F)</t>
  </si>
  <si>
    <t>W conifer - WF (S)</t>
  </si>
  <si>
    <t>note: should probably include Urbanski 2013 data in here if we use this category, otherwise, where to include this data?</t>
  </si>
  <si>
    <t>W conifer - Douglas-fir (F)</t>
  </si>
  <si>
    <t>W conifer - Douglas-fir (S)</t>
  </si>
  <si>
    <t>note: cut short term smoldering at 0.8</t>
  </si>
  <si>
    <t>note: 21 out of 25 measurements are of slash</t>
  </si>
  <si>
    <t>Duplicate data to Bovee</t>
  </si>
  <si>
    <t>W conifer WF (F)</t>
  </si>
  <si>
    <t>W conifer WF (S)</t>
  </si>
  <si>
    <t>note: 19 out of 21 data points are slash</t>
  </si>
  <si>
    <t>note: 54 out of 56 data points are WF</t>
  </si>
  <si>
    <t>N conifer (Boreal Forest) (F)</t>
  </si>
  <si>
    <t>N conifer (Boreal Forest) (S)</t>
  </si>
  <si>
    <t>N duff (F)</t>
  </si>
  <si>
    <t>N duff (S)</t>
  </si>
  <si>
    <t>N mixedwood - slash (F)</t>
  </si>
  <si>
    <t>N mixedwood - slash (S)</t>
  </si>
  <si>
    <t>WF only</t>
  </si>
  <si>
    <t>N conifer (Boreal Forest) (all data)</t>
  </si>
  <si>
    <t>N duff (all data)</t>
  </si>
  <si>
    <t>N mixedwood - slash (all data)</t>
  </si>
  <si>
    <t>SE grass (all data)</t>
  </si>
  <si>
    <t>SE grass (F)</t>
  </si>
  <si>
    <t>SE grass (S)</t>
  </si>
  <si>
    <t>SE hardwood (all data)</t>
  </si>
  <si>
    <t>SE hardwood (S)</t>
  </si>
  <si>
    <t>SE hardwood (F)</t>
  </si>
  <si>
    <t>SE pine (all data)</t>
  </si>
  <si>
    <t>SE pine (F)</t>
  </si>
  <si>
    <t>SE pine (S)</t>
  </si>
  <si>
    <t>W conifer (all data)</t>
  </si>
  <si>
    <t>W grass (all data)</t>
  </si>
  <si>
    <t>W grass (F)</t>
  </si>
  <si>
    <t>W grass (S)</t>
  </si>
  <si>
    <t>W hardwood (all data)</t>
  </si>
  <si>
    <t>Note: Weise and Hegg data do not have F/S combustion phase  in their data</t>
  </si>
  <si>
    <t>W shrub (all data)</t>
  </si>
  <si>
    <t>W shrub (F)</t>
  </si>
  <si>
    <t>W shrub (S)</t>
  </si>
  <si>
    <t>SE shrub (all data)</t>
  </si>
  <si>
    <t>SE shrub (F)</t>
  </si>
  <si>
    <t>SE shrub (S)</t>
  </si>
  <si>
    <t>N Conifer (all data)</t>
  </si>
  <si>
    <t>N Conifer (F)</t>
  </si>
  <si>
    <t>N Conifer (S)</t>
  </si>
  <si>
    <t>SE pine (LTS)</t>
  </si>
  <si>
    <t>W conifer (LTS)</t>
  </si>
  <si>
    <t>Note: Weise and Hegg data (which account for about half the W shrub data) do not have F/S combustion phase in their data</t>
  </si>
  <si>
    <t>N conifer (all data)</t>
  </si>
  <si>
    <t>N conifer (F)</t>
  </si>
  <si>
    <t>N conifer (S)</t>
  </si>
  <si>
    <t>N mixedwood - slash (LTS)</t>
  </si>
  <si>
    <t>Ward 1992</t>
  </si>
  <si>
    <t>W conifer non-slash (all data)</t>
  </si>
  <si>
    <t>W conifer non-slash (F)</t>
  </si>
  <si>
    <t>W conifer non-slash (S)</t>
  </si>
  <si>
    <t>W conifer slash (all data)</t>
  </si>
  <si>
    <t>W conifer slash (F)</t>
  </si>
  <si>
    <t>W conifer slash (S)</t>
  </si>
  <si>
    <t>cut at MCE of 0.8</t>
  </si>
  <si>
    <t>W conifer - lodgepole pine (all data)</t>
  </si>
  <si>
    <t>W conifer - ponderosa pine (all data)</t>
  </si>
  <si>
    <t>W conifer - slash (all data)</t>
  </si>
  <si>
    <t>W conifer - Douglas-fir western hemlock slash (all data)</t>
  </si>
  <si>
    <t>W conifer - mixed slash (all data)</t>
  </si>
  <si>
    <t>W conifer - ponderosa pine slash (all data)</t>
  </si>
  <si>
    <t>Just Ward 1982, 1984</t>
  </si>
  <si>
    <t>Slash Flag Y/N</t>
  </si>
  <si>
    <t>n</t>
  </si>
  <si>
    <t>y</t>
  </si>
  <si>
    <t>W conifer - non-slash (all data)</t>
  </si>
  <si>
    <t>W conifer - non-slash (F)</t>
  </si>
  <si>
    <t>W conifer - non-slash (S)</t>
  </si>
  <si>
    <t>W conifer - slash Ward 82/84 (all data)</t>
  </si>
  <si>
    <t>W conifer - slash Ward 82/84 (F)</t>
  </si>
  <si>
    <t>W conifer - slash Ward 82/84 (S)</t>
  </si>
  <si>
    <t>Duplicate to Bovee (#4)</t>
  </si>
  <si>
    <t>Duplicate to Hegg (#63)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</si>
</sst>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mmmm\,\ yyyy"/>
  </numFmts>
  <fonts count="1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</font>
    <font>
      <i/>
      <sz val="10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15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0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15" fontId="2" fillId="0" borderId="0" xfId="0" applyNumberFormat="1" applyFont="1" applyFill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0" xfId="1" applyNumberFormat="1" applyFont="1" applyBorder="1" applyAlignment="1">
      <alignment horizontal="left" vertical="top"/>
    </xf>
    <xf numFmtId="0" fontId="2" fillId="0" borderId="0" xfId="2" applyFont="1" applyFill="1" applyBorder="1" applyAlignment="1">
      <alignment horizontal="left" vertical="top"/>
    </xf>
    <xf numFmtId="0" fontId="2" fillId="0" borderId="0" xfId="3" applyNumberFormat="1" applyFont="1" applyFill="1" applyBorder="1" applyAlignment="1">
      <alignment horizontal="left" vertical="top"/>
    </xf>
    <xf numFmtId="0" fontId="2" fillId="0" borderId="1" xfId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top"/>
    </xf>
    <xf numFmtId="15" fontId="2" fillId="0" borderId="0" xfId="2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1" fontId="2" fillId="0" borderId="0" xfId="2" applyNumberFormat="1" applyFont="1" applyFill="1" applyBorder="1" applyAlignment="1">
      <alignment horizontal="left" vertical="top"/>
    </xf>
    <xf numFmtId="0" fontId="2" fillId="0" borderId="0" xfId="2" applyFont="1" applyFill="1" applyBorder="1" applyAlignment="1">
      <alignment vertical="top"/>
    </xf>
    <xf numFmtId="0" fontId="2" fillId="0" borderId="0" xfId="1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2" fillId="0" borderId="0" xfId="5" applyFont="1" applyFill="1" applyBorder="1" applyAlignment="1">
      <alignment horizontal="left" vertical="top"/>
    </xf>
    <xf numFmtId="165" fontId="2" fillId="0" borderId="0" xfId="2" applyNumberFormat="1" applyFont="1" applyFill="1" applyBorder="1" applyAlignment="1">
      <alignment horizontal="left" vertical="top"/>
    </xf>
    <xf numFmtId="0" fontId="2" fillId="0" borderId="0" xfId="6" applyFont="1" applyFill="1" applyBorder="1" applyAlignment="1">
      <alignment horizontal="left" vertical="top"/>
    </xf>
    <xf numFmtId="165" fontId="2" fillId="0" borderId="0" xfId="0" applyNumberFormat="1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left" vertical="top"/>
    </xf>
    <xf numFmtId="0" fontId="2" fillId="0" borderId="0" xfId="6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top"/>
    </xf>
    <xf numFmtId="0" fontId="9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top"/>
    </xf>
    <xf numFmtId="0" fontId="0" fillId="0" borderId="0" xfId="0" applyFont="1" applyBorder="1"/>
    <xf numFmtId="0" fontId="10" fillId="0" borderId="0" xfId="0" applyFont="1" applyAlignment="1">
      <alignment horizontal="left" vertical="top"/>
    </xf>
    <xf numFmtId="0" fontId="0" fillId="0" borderId="0" xfId="0" applyFill="1"/>
    <xf numFmtId="0" fontId="0" fillId="0" borderId="0" xfId="0" applyFont="1"/>
    <xf numFmtId="0" fontId="10" fillId="0" borderId="1" xfId="0" applyNumberFormat="1" applyFont="1" applyFill="1" applyBorder="1" applyAlignment="1">
      <alignment horizontal="left" vertical="top"/>
    </xf>
    <xf numFmtId="0" fontId="13" fillId="0" borderId="0" xfId="0" applyFont="1" applyFill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166" fontId="5" fillId="0" borderId="0" xfId="0" applyNumberFormat="1" applyFont="1" applyFill="1" applyBorder="1" applyAlignment="1">
      <alignment horizontal="left" vertical="top"/>
    </xf>
    <xf numFmtId="0" fontId="14" fillId="0" borderId="0" xfId="0" applyFont="1" applyBorder="1"/>
    <xf numFmtId="0" fontId="1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14" fillId="0" borderId="0" xfId="0" applyFont="1" applyFill="1" applyBorder="1"/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top"/>
    </xf>
    <xf numFmtId="15" fontId="5" fillId="0" borderId="0" xfId="0" applyNumberFormat="1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6" applyFont="1" applyFill="1" applyBorder="1" applyAlignment="1">
      <alignment horizontal="left" vertical="top"/>
    </xf>
    <xf numFmtId="0" fontId="16" fillId="0" borderId="0" xfId="0" applyFont="1" applyBorder="1"/>
    <xf numFmtId="0" fontId="5" fillId="0" borderId="0" xfId="2" applyFont="1" applyFill="1" applyBorder="1" applyAlignment="1">
      <alignment vertical="top"/>
    </xf>
    <xf numFmtId="15" fontId="5" fillId="0" borderId="0" xfId="2" applyNumberFormat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2" fontId="5" fillId="0" borderId="0" xfId="2" applyNumberFormat="1" applyFont="1" applyFill="1" applyBorder="1" applyAlignment="1">
      <alignment horizontal="left" vertical="top"/>
    </xf>
    <xf numFmtId="164" fontId="5" fillId="0" borderId="0" xfId="2" applyNumberFormat="1" applyFont="1" applyFill="1" applyBorder="1" applyAlignment="1">
      <alignment horizontal="left" vertical="top"/>
    </xf>
    <xf numFmtId="2" fontId="5" fillId="0" borderId="0" xfId="2" applyNumberFormat="1" applyFont="1" applyFill="1" applyBorder="1" applyAlignment="1">
      <alignment horizontal="right" vertical="top"/>
    </xf>
    <xf numFmtId="0" fontId="5" fillId="0" borderId="0" xfId="1" applyFont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5" fillId="0" borderId="0" xfId="5" applyFont="1" applyFill="1" applyBorder="1" applyAlignment="1">
      <alignment horizontal="left" vertical="top"/>
    </xf>
    <xf numFmtId="164" fontId="5" fillId="0" borderId="0" xfId="5" applyNumberFormat="1" applyFont="1" applyFill="1" applyBorder="1" applyAlignment="1">
      <alignment horizontal="left" vertical="top"/>
    </xf>
    <xf numFmtId="2" fontId="5" fillId="0" borderId="0" xfId="5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vertical="top"/>
    </xf>
    <xf numFmtId="0" fontId="5" fillId="0" borderId="0" xfId="7" applyFont="1" applyFill="1" applyBorder="1" applyAlignment="1">
      <alignment horizontal="left" vertical="top"/>
    </xf>
    <xf numFmtId="2" fontId="5" fillId="0" borderId="0" xfId="7" applyNumberFormat="1" applyFont="1" applyFill="1" applyBorder="1" applyAlignment="1">
      <alignment horizontal="right" vertical="top"/>
    </xf>
    <xf numFmtId="165" fontId="5" fillId="0" borderId="0" xfId="5" applyNumberFormat="1" applyFont="1" applyFill="1" applyBorder="1" applyAlignment="1">
      <alignment horizontal="left" vertical="top"/>
    </xf>
    <xf numFmtId="165" fontId="5" fillId="0" borderId="0" xfId="2" applyNumberFormat="1" applyFont="1" applyFill="1" applyBorder="1" applyAlignment="1">
      <alignment horizontal="left" vertical="top"/>
    </xf>
    <xf numFmtId="0" fontId="16" fillId="0" borderId="0" xfId="0" applyFont="1" applyFill="1" applyBorder="1"/>
    <xf numFmtId="0" fontId="5" fillId="0" borderId="0" xfId="0" applyNumberFormat="1" applyFont="1" applyBorder="1" applyAlignment="1">
      <alignment horizontal="left" vertical="top"/>
    </xf>
    <xf numFmtId="0" fontId="5" fillId="4" borderId="0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left" vertical="top"/>
    </xf>
    <xf numFmtId="0" fontId="5" fillId="4" borderId="0" xfId="0" applyNumberFormat="1" applyFont="1" applyFill="1" applyBorder="1" applyAlignment="1">
      <alignment vertical="top"/>
    </xf>
    <xf numFmtId="166" fontId="5" fillId="4" borderId="0" xfId="0" applyNumberFormat="1" applyFont="1" applyFill="1" applyBorder="1" applyAlignment="1">
      <alignment horizontal="left" vertical="top"/>
    </xf>
    <xf numFmtId="0" fontId="14" fillId="4" borderId="0" xfId="0" applyFont="1" applyFill="1" applyBorder="1"/>
    <xf numFmtId="0" fontId="15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165" fontId="5" fillId="4" borderId="0" xfId="0" applyNumberFormat="1" applyFont="1" applyFill="1" applyBorder="1" applyAlignment="1">
      <alignment horizontal="left" vertical="top"/>
    </xf>
    <xf numFmtId="165" fontId="5" fillId="4" borderId="0" xfId="0" applyNumberFormat="1" applyFont="1" applyFill="1" applyBorder="1" applyAlignment="1">
      <alignment horizontal="right" vertical="top"/>
    </xf>
    <xf numFmtId="164" fontId="14" fillId="4" borderId="0" xfId="0" applyNumberFormat="1" applyFont="1" applyFill="1" applyBorder="1"/>
    <xf numFmtId="0" fontId="0" fillId="4" borderId="0" xfId="0" applyFill="1"/>
    <xf numFmtId="0" fontId="5" fillId="4" borderId="0" xfId="1" applyFont="1" applyFill="1" applyBorder="1" applyAlignment="1">
      <alignment horizontal="left" vertical="top"/>
    </xf>
    <xf numFmtId="0" fontId="15" fillId="4" borderId="0" xfId="0" applyNumberFormat="1" applyFont="1" applyFill="1" applyBorder="1" applyAlignment="1">
      <alignment horizontal="left" vertical="top"/>
    </xf>
    <xf numFmtId="164" fontId="5" fillId="4" borderId="0" xfId="0" applyNumberFormat="1" applyFont="1" applyFill="1" applyBorder="1" applyAlignment="1">
      <alignment horizontal="right" vertical="top"/>
    </xf>
    <xf numFmtId="0" fontId="5" fillId="4" borderId="0" xfId="0" applyNumberFormat="1" applyFont="1" applyFill="1" applyBorder="1" applyAlignment="1">
      <alignment horizontal="right" vertical="top"/>
    </xf>
    <xf numFmtId="0" fontId="5" fillId="4" borderId="0" xfId="1" applyFont="1" applyFill="1" applyBorder="1" applyAlignment="1">
      <alignment vertical="top"/>
    </xf>
    <xf numFmtId="0" fontId="5" fillId="4" borderId="0" xfId="6" applyFont="1" applyFill="1" applyBorder="1" applyAlignment="1">
      <alignment vertical="top"/>
    </xf>
    <xf numFmtId="0" fontId="5" fillId="4" borderId="0" xfId="5" applyFont="1" applyFill="1" applyBorder="1" applyAlignment="1">
      <alignment horizontal="left" vertical="top"/>
    </xf>
    <xf numFmtId="0" fontId="5" fillId="4" borderId="0" xfId="6" applyFont="1" applyFill="1" applyBorder="1" applyAlignment="1">
      <alignment horizontal="left" vertical="top"/>
    </xf>
    <xf numFmtId="164" fontId="5" fillId="4" borderId="0" xfId="5" applyNumberFormat="1" applyFont="1" applyFill="1" applyBorder="1" applyAlignment="1">
      <alignment horizontal="left" vertical="top"/>
    </xf>
    <xf numFmtId="2" fontId="5" fillId="4" borderId="0" xfId="5" applyNumberFormat="1" applyFont="1" applyFill="1" applyBorder="1" applyAlignment="1">
      <alignment horizontal="right" vertical="top"/>
    </xf>
    <xf numFmtId="0" fontId="0" fillId="4" borderId="0" xfId="0" applyFont="1" applyFill="1"/>
    <xf numFmtId="0" fontId="5" fillId="4" borderId="0" xfId="2" applyFont="1" applyFill="1" applyBorder="1" applyAlignment="1">
      <alignment horizontal="left" vertical="top"/>
    </xf>
    <xf numFmtId="164" fontId="5" fillId="4" borderId="0" xfId="2" applyNumberFormat="1" applyFont="1" applyFill="1" applyBorder="1" applyAlignment="1">
      <alignment horizontal="left" vertical="top"/>
    </xf>
    <xf numFmtId="2" fontId="5" fillId="4" borderId="0" xfId="2" applyNumberFormat="1" applyFont="1" applyFill="1" applyBorder="1" applyAlignment="1">
      <alignment horizontal="right" vertical="top"/>
    </xf>
    <xf numFmtId="2" fontId="5" fillId="4" borderId="0" xfId="0" applyNumberFormat="1" applyFont="1" applyFill="1" applyBorder="1" applyAlignment="1">
      <alignment horizontal="right" vertical="top"/>
    </xf>
    <xf numFmtId="0" fontId="5" fillId="4" borderId="0" xfId="0" applyFont="1" applyFill="1" applyBorder="1" applyAlignment="1">
      <alignment vertical="top"/>
    </xf>
    <xf numFmtId="0" fontId="16" fillId="4" borderId="0" xfId="0" applyFont="1" applyFill="1" applyBorder="1"/>
    <xf numFmtId="0" fontId="5" fillId="4" borderId="0" xfId="0" applyFont="1" applyFill="1" applyBorder="1" applyAlignment="1">
      <alignment horizontal="right" vertical="top"/>
    </xf>
    <xf numFmtId="0" fontId="5" fillId="4" borderId="0" xfId="1" applyNumberFormat="1" applyFont="1" applyFill="1" applyBorder="1" applyAlignment="1">
      <alignment horizontal="left" vertical="top"/>
    </xf>
    <xf numFmtId="15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165" fontId="5" fillId="4" borderId="0" xfId="5" applyNumberFormat="1" applyFont="1" applyFill="1" applyBorder="1" applyAlignment="1">
      <alignment horizontal="left" vertical="top"/>
    </xf>
    <xf numFmtId="165" fontId="5" fillId="4" borderId="0" xfId="2" applyNumberFormat="1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/>
    </xf>
    <xf numFmtId="15" fontId="5" fillId="4" borderId="0" xfId="2" applyNumberFormat="1" applyFont="1" applyFill="1" applyBorder="1" applyAlignment="1">
      <alignment horizontal="left" vertical="top"/>
    </xf>
    <xf numFmtId="2" fontId="0" fillId="4" borderId="0" xfId="0" applyNumberFormat="1" applyFill="1"/>
    <xf numFmtId="2" fontId="0" fillId="4" borderId="0" xfId="0" applyNumberFormat="1" applyFont="1" applyFill="1"/>
    <xf numFmtId="165" fontId="0" fillId="4" borderId="0" xfId="0" applyNumberFormat="1" applyFont="1" applyFill="1"/>
    <xf numFmtId="1" fontId="0" fillId="4" borderId="0" xfId="0" applyNumberFormat="1" applyFont="1" applyFill="1"/>
    <xf numFmtId="0" fontId="13" fillId="4" borderId="0" xfId="0" applyFont="1" applyFill="1"/>
    <xf numFmtId="0" fontId="5" fillId="5" borderId="0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top"/>
    </xf>
    <xf numFmtId="0" fontId="5" fillId="5" borderId="0" xfId="0" applyNumberFormat="1" applyFont="1" applyFill="1" applyBorder="1" applyAlignment="1">
      <alignment vertical="top"/>
    </xf>
    <xf numFmtId="0" fontId="5" fillId="5" borderId="0" xfId="0" applyNumberFormat="1" applyFont="1" applyFill="1" applyBorder="1" applyAlignment="1">
      <alignment horizontal="left" vertical="top"/>
    </xf>
    <xf numFmtId="0" fontId="14" fillId="5" borderId="0" xfId="0" applyFont="1" applyFill="1" applyBorder="1"/>
    <xf numFmtId="0" fontId="5" fillId="5" borderId="0" xfId="0" applyNumberFormat="1" applyFont="1" applyFill="1" applyBorder="1" applyAlignment="1">
      <alignment horizontal="right" vertical="top"/>
    </xf>
    <xf numFmtId="164" fontId="14" fillId="5" borderId="0" xfId="0" applyNumberFormat="1" applyFont="1" applyFill="1" applyBorder="1"/>
    <xf numFmtId="0" fontId="0" fillId="5" borderId="0" xfId="0" applyFill="1"/>
    <xf numFmtId="0" fontId="1" fillId="0" borderId="0" xfId="0" applyFont="1" applyAlignment="1">
      <alignment horizontal="left" vertical="center"/>
    </xf>
    <xf numFmtId="0" fontId="13" fillId="4" borderId="2" xfId="0" applyFont="1" applyFill="1" applyBorder="1"/>
    <xf numFmtId="0" fontId="0" fillId="4" borderId="2" xfId="0" applyFill="1" applyBorder="1"/>
    <xf numFmtId="2" fontId="0" fillId="4" borderId="2" xfId="0" applyNumberFormat="1" applyFill="1" applyBorder="1"/>
    <xf numFmtId="0" fontId="0" fillId="0" borderId="2" xfId="0" applyBorder="1"/>
    <xf numFmtId="0" fontId="13" fillId="0" borderId="2" xfId="0" applyFont="1" applyBorder="1"/>
    <xf numFmtId="0" fontId="0" fillId="0" borderId="2" xfId="0" applyFont="1" applyFill="1" applyBorder="1"/>
    <xf numFmtId="2" fontId="0" fillId="0" borderId="2" xfId="0" applyNumberFormat="1" applyBorder="1"/>
    <xf numFmtId="0" fontId="0" fillId="4" borderId="0" xfId="0" applyFill="1" applyBorder="1"/>
    <xf numFmtId="2" fontId="0" fillId="4" borderId="0" xfId="0" applyNumberFormat="1" applyFill="1" applyBorder="1"/>
    <xf numFmtId="0" fontId="0" fillId="4" borderId="2" xfId="0" applyFont="1" applyFill="1" applyBorder="1"/>
    <xf numFmtId="4" fontId="0" fillId="4" borderId="2" xfId="0" applyNumberFormat="1" applyFill="1" applyBorder="1"/>
    <xf numFmtId="0" fontId="14" fillId="0" borderId="0" xfId="0" applyFont="1"/>
    <xf numFmtId="164" fontId="5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6" fillId="0" borderId="0" xfId="0" applyFont="1"/>
    <xf numFmtId="1" fontId="5" fillId="0" borderId="0" xfId="2" applyNumberFormat="1" applyFont="1" applyFill="1" applyBorder="1" applyAlignment="1">
      <alignment horizontal="left" vertical="top"/>
    </xf>
    <xf numFmtId="1" fontId="5" fillId="0" borderId="0" xfId="5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0" fontId="5" fillId="0" borderId="0" xfId="3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center"/>
    </xf>
    <xf numFmtId="0" fontId="14" fillId="0" borderId="0" xfId="0" applyFont="1" applyFill="1"/>
    <xf numFmtId="0" fontId="5" fillId="0" borderId="0" xfId="1" applyNumberFormat="1" applyFont="1" applyFill="1" applyBorder="1" applyAlignment="1">
      <alignment horizontal="left" vertical="top"/>
    </xf>
    <xf numFmtId="0" fontId="14" fillId="4" borderId="0" xfId="0" applyFont="1" applyFill="1"/>
    <xf numFmtId="1" fontId="5" fillId="4" borderId="0" xfId="0" applyNumberFormat="1" applyFont="1" applyFill="1" applyBorder="1" applyAlignment="1">
      <alignment horizontal="left" vertical="top"/>
    </xf>
    <xf numFmtId="1" fontId="5" fillId="4" borderId="0" xfId="5" applyNumberFormat="1" applyFont="1" applyFill="1" applyBorder="1" applyAlignment="1">
      <alignment horizontal="left" vertical="top"/>
    </xf>
    <xf numFmtId="1" fontId="5" fillId="4" borderId="0" xfId="2" applyNumberFormat="1" applyFont="1" applyFill="1" applyBorder="1" applyAlignment="1">
      <alignment horizontal="left" vertical="top"/>
    </xf>
    <xf numFmtId="0" fontId="5" fillId="4" borderId="0" xfId="3" applyNumberFormat="1" applyFont="1" applyFill="1" applyBorder="1" applyAlignment="1">
      <alignment horizontal="left" vertical="top"/>
    </xf>
    <xf numFmtId="0" fontId="16" fillId="4" borderId="0" xfId="0" applyFont="1" applyFill="1"/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left" vertical="top"/>
    </xf>
    <xf numFmtId="0" fontId="5" fillId="4" borderId="0" xfId="0" applyNumberFormat="1" applyFont="1" applyFill="1" applyBorder="1" applyAlignment="1">
      <alignment horizontal="left" vertical="center"/>
    </xf>
    <xf numFmtId="0" fontId="17" fillId="0" borderId="2" xfId="0" applyFont="1" applyBorder="1"/>
    <xf numFmtId="0" fontId="14" fillId="0" borderId="2" xfId="0" applyFont="1" applyBorder="1"/>
    <xf numFmtId="2" fontId="14" fillId="0" borderId="2" xfId="0" applyNumberFormat="1" applyFont="1" applyBorder="1"/>
    <xf numFmtId="1" fontId="14" fillId="0" borderId="2" xfId="0" applyNumberFormat="1" applyFont="1" applyBorder="1"/>
    <xf numFmtId="0" fontId="17" fillId="4" borderId="2" xfId="0" applyFont="1" applyFill="1" applyBorder="1"/>
    <xf numFmtId="0" fontId="14" fillId="4" borderId="2" xfId="0" applyFont="1" applyFill="1" applyBorder="1"/>
    <xf numFmtId="164" fontId="14" fillId="4" borderId="2" xfId="0" applyNumberFormat="1" applyFont="1" applyFill="1" applyBorder="1"/>
    <xf numFmtId="1" fontId="14" fillId="4" borderId="2" xfId="0" applyNumberFormat="1" applyFont="1" applyFill="1" applyBorder="1"/>
    <xf numFmtId="2" fontId="14" fillId="4" borderId="2" xfId="0" applyNumberFormat="1" applyFont="1" applyFill="1" applyBorder="1"/>
    <xf numFmtId="164" fontId="14" fillId="0" borderId="0" xfId="0" applyNumberFormat="1" applyFont="1" applyFill="1" applyBorder="1"/>
    <xf numFmtId="0" fontId="5" fillId="4" borderId="0" xfId="7" applyFont="1" applyFill="1" applyBorder="1" applyAlignment="1">
      <alignment horizontal="left" vertical="top"/>
    </xf>
    <xf numFmtId="0" fontId="17" fillId="0" borderId="0" xfId="0" applyFont="1" applyFill="1" applyBorder="1"/>
    <xf numFmtId="0" fontId="17" fillId="0" borderId="2" xfId="0" applyFont="1" applyFill="1" applyBorder="1"/>
    <xf numFmtId="0" fontId="14" fillId="0" borderId="2" xfId="0" applyFont="1" applyFill="1" applyBorder="1"/>
    <xf numFmtId="2" fontId="14" fillId="0" borderId="2" xfId="0" applyNumberFormat="1" applyFont="1" applyFill="1" applyBorder="1"/>
    <xf numFmtId="1" fontId="14" fillId="0" borderId="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6" applyFont="1" applyFill="1" applyBorder="1" applyAlignment="1">
      <alignment horizontal="left" vertical="top"/>
    </xf>
    <xf numFmtId="164" fontId="17" fillId="0" borderId="0" xfId="0" applyNumberFormat="1" applyFont="1" applyFill="1" applyBorder="1"/>
    <xf numFmtId="0" fontId="17" fillId="0" borderId="0" xfId="0" applyFont="1" applyFill="1"/>
    <xf numFmtId="2" fontId="5" fillId="0" borderId="0" xfId="0" applyNumberFormat="1" applyFont="1" applyBorder="1" applyAlignment="1">
      <alignment horizontal="right" vertical="top"/>
    </xf>
    <xf numFmtId="2" fontId="14" fillId="0" borderId="0" xfId="0" applyNumberFormat="1" applyFont="1" applyFill="1" applyBorder="1" applyAlignment="1">
      <alignment horizontal="right"/>
    </xf>
    <xf numFmtId="2" fontId="5" fillId="4" borderId="0" xfId="7" applyNumberFormat="1" applyFont="1" applyFill="1" applyBorder="1" applyAlignment="1">
      <alignment horizontal="right" vertical="top"/>
    </xf>
    <xf numFmtId="0" fontId="5" fillId="3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  <xf numFmtId="0" fontId="5" fillId="6" borderId="0" xfId="0" applyNumberFormat="1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left" vertical="top"/>
    </xf>
    <xf numFmtId="0" fontId="5" fillId="6" borderId="0" xfId="0" applyNumberFormat="1" applyFont="1" applyFill="1" applyBorder="1" applyAlignment="1">
      <alignment vertical="top"/>
    </xf>
    <xf numFmtId="0" fontId="5" fillId="6" borderId="0" xfId="0" applyNumberFormat="1" applyFont="1" applyFill="1" applyBorder="1" applyAlignment="1">
      <alignment horizontal="left" vertical="top"/>
    </xf>
    <xf numFmtId="0" fontId="14" fillId="6" borderId="0" xfId="0" applyFont="1" applyFill="1" applyBorder="1"/>
    <xf numFmtId="164" fontId="14" fillId="6" borderId="0" xfId="0" applyNumberFormat="1" applyFont="1" applyFill="1" applyBorder="1"/>
    <xf numFmtId="0" fontId="14" fillId="6" borderId="0" xfId="0" applyFont="1" applyFill="1"/>
    <xf numFmtId="0" fontId="0" fillId="6" borderId="0" xfId="0" applyFill="1"/>
    <xf numFmtId="0" fontId="5" fillId="0" borderId="0" xfId="0" applyFont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  <xf numFmtId="1" fontId="5" fillId="0" borderId="0" xfId="2" applyNumberFormat="1" applyFont="1" applyFill="1" applyBorder="1" applyAlignment="1">
      <alignment horizontal="right" vertical="top"/>
    </xf>
    <xf numFmtId="1" fontId="5" fillId="4" borderId="0" xfId="0" applyNumberFormat="1" applyFont="1" applyFill="1" applyBorder="1" applyAlignment="1">
      <alignment horizontal="right" vertical="top"/>
    </xf>
    <xf numFmtId="1" fontId="5" fillId="4" borderId="0" xfId="5" applyNumberFormat="1" applyFont="1" applyFill="1" applyBorder="1" applyAlignment="1">
      <alignment horizontal="right" vertical="top"/>
    </xf>
    <xf numFmtId="1" fontId="5" fillId="4" borderId="0" xfId="2" applyNumberFormat="1" applyFont="1" applyFill="1" applyBorder="1" applyAlignment="1">
      <alignment horizontal="right" vertical="top"/>
    </xf>
    <xf numFmtId="0" fontId="5" fillId="4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" fontId="5" fillId="0" borderId="0" xfId="5" applyNumberFormat="1" applyFont="1" applyFill="1" applyBorder="1" applyAlignment="1">
      <alignment horizontal="right" vertical="top"/>
    </xf>
    <xf numFmtId="0" fontId="5" fillId="6" borderId="0" xfId="0" applyNumberFormat="1" applyFont="1" applyFill="1" applyBorder="1" applyAlignment="1">
      <alignment horizontal="right" vertical="top"/>
    </xf>
    <xf numFmtId="1" fontId="5" fillId="0" borderId="0" xfId="7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14" fillId="4" borderId="0" xfId="0" applyFont="1" applyFill="1" applyAlignment="1">
      <alignment horizontal="right"/>
    </xf>
    <xf numFmtId="0" fontId="5" fillId="6" borderId="0" xfId="1" applyFont="1" applyFill="1" applyBorder="1" applyAlignment="1">
      <alignment horizontal="left" vertical="top"/>
    </xf>
    <xf numFmtId="166" fontId="5" fillId="6" borderId="0" xfId="0" applyNumberFormat="1" applyFont="1" applyFill="1" applyBorder="1" applyAlignment="1">
      <alignment horizontal="left" vertical="top"/>
    </xf>
    <xf numFmtId="0" fontId="15" fillId="6" borderId="0" xfId="0" applyNumberFormat="1" applyFont="1" applyFill="1" applyBorder="1" applyAlignment="1">
      <alignment horizontal="left" vertical="top"/>
    </xf>
    <xf numFmtId="165" fontId="5" fillId="6" borderId="0" xfId="0" applyNumberFormat="1" applyFont="1" applyFill="1" applyBorder="1" applyAlignment="1">
      <alignment horizontal="left" vertical="top"/>
    </xf>
    <xf numFmtId="1" fontId="5" fillId="6" borderId="0" xfId="0" applyNumberFormat="1" applyFont="1" applyFill="1" applyBorder="1" applyAlignment="1">
      <alignment horizontal="left" vertical="top"/>
    </xf>
    <xf numFmtId="1" fontId="5" fillId="6" borderId="0" xfId="0" applyNumberFormat="1" applyFont="1" applyFill="1" applyBorder="1" applyAlignment="1">
      <alignment horizontal="right" vertical="top"/>
    </xf>
    <xf numFmtId="0" fontId="14" fillId="6" borderId="2" xfId="0" applyFont="1" applyFill="1" applyBorder="1"/>
    <xf numFmtId="2" fontId="14" fillId="6" borderId="2" xfId="0" applyNumberFormat="1" applyFont="1" applyFill="1" applyBorder="1"/>
    <xf numFmtId="0" fontId="17" fillId="6" borderId="2" xfId="0" applyFont="1" applyFill="1" applyBorder="1"/>
    <xf numFmtId="1" fontId="14" fillId="6" borderId="2" xfId="0" applyNumberFormat="1" applyFont="1" applyFill="1" applyBorder="1"/>
    <xf numFmtId="0" fontId="5" fillId="4" borderId="1" xfId="6" applyFont="1" applyFill="1" applyBorder="1" applyAlignment="1">
      <alignment horizontal="left" vertical="top"/>
    </xf>
    <xf numFmtId="1" fontId="0" fillId="0" borderId="2" xfId="0" applyNumberFormat="1" applyBorder="1"/>
    <xf numFmtId="0" fontId="5" fillId="4" borderId="2" xfId="0" applyNumberFormat="1" applyFont="1" applyFill="1" applyBorder="1" applyAlignment="1">
      <alignment horizontal="left" vertical="top"/>
    </xf>
    <xf numFmtId="2" fontId="0" fillId="4" borderId="2" xfId="0" applyNumberFormat="1" applyFont="1" applyFill="1" applyBorder="1"/>
    <xf numFmtId="1" fontId="0" fillId="4" borderId="2" xfId="0" applyNumberFormat="1" applyFont="1" applyFill="1" applyBorder="1"/>
    <xf numFmtId="0" fontId="13" fillId="0" borderId="2" xfId="0" applyFont="1" applyFill="1" applyBorder="1"/>
    <xf numFmtId="0" fontId="0" fillId="5" borderId="2" xfId="0" applyFill="1" applyBorder="1"/>
    <xf numFmtId="2" fontId="0" fillId="5" borderId="2" xfId="0" applyNumberFormat="1" applyFill="1" applyBorder="1"/>
    <xf numFmtId="1" fontId="0" fillId="5" borderId="2" xfId="0" applyNumberFormat="1" applyFill="1" applyBorder="1"/>
    <xf numFmtId="0" fontId="5" fillId="5" borderId="0" xfId="1" applyFont="1" applyFill="1" applyBorder="1" applyAlignment="1">
      <alignment horizontal="left" vertical="top"/>
    </xf>
    <xf numFmtId="166" fontId="5" fillId="5" borderId="0" xfId="0" applyNumberFormat="1" applyFont="1" applyFill="1" applyBorder="1" applyAlignment="1">
      <alignment horizontal="left" vertical="top"/>
    </xf>
    <xf numFmtId="0" fontId="15" fillId="5" borderId="0" xfId="0" applyNumberFormat="1" applyFont="1" applyFill="1" applyBorder="1" applyAlignment="1">
      <alignment horizontal="left" vertical="top"/>
    </xf>
    <xf numFmtId="165" fontId="5" fillId="5" borderId="0" xfId="0" applyNumberFormat="1" applyFont="1" applyFill="1" applyBorder="1" applyAlignment="1">
      <alignment horizontal="left" vertical="top"/>
    </xf>
    <xf numFmtId="2" fontId="5" fillId="5" borderId="0" xfId="0" applyNumberFormat="1" applyFont="1" applyFill="1" applyBorder="1" applyAlignment="1">
      <alignment horizontal="right" vertical="top"/>
    </xf>
    <xf numFmtId="0" fontId="0" fillId="5" borderId="0" xfId="0" applyFont="1" applyFill="1"/>
    <xf numFmtId="0" fontId="0" fillId="5" borderId="2" xfId="0" applyFont="1" applyFill="1" applyBorder="1"/>
    <xf numFmtId="2" fontId="14" fillId="0" borderId="0" xfId="0" applyNumberFormat="1" applyFont="1" applyFill="1" applyBorder="1"/>
    <xf numFmtId="0" fontId="5" fillId="4" borderId="0" xfId="0" applyFont="1" applyFill="1" applyBorder="1" applyAlignment="1">
      <alignment horizontal="left"/>
    </xf>
    <xf numFmtId="0" fontId="5" fillId="4" borderId="0" xfId="1352" applyFont="1" applyFill="1" applyBorder="1" applyAlignment="1">
      <alignment horizontal="left"/>
    </xf>
    <xf numFmtId="0" fontId="5" fillId="7" borderId="0" xfId="0" applyNumberFormat="1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left"/>
    </xf>
    <xf numFmtId="0" fontId="5" fillId="7" borderId="0" xfId="1352" applyFont="1" applyFill="1" applyBorder="1" applyAlignment="1">
      <alignment horizontal="left"/>
    </xf>
    <xf numFmtId="0" fontId="14" fillId="7" borderId="0" xfId="0" applyFont="1" applyFill="1" applyBorder="1"/>
    <xf numFmtId="0" fontId="5" fillId="7" borderId="0" xfId="0" applyFont="1" applyFill="1" applyBorder="1" applyAlignment="1">
      <alignment horizontal="left" vertical="top"/>
    </xf>
    <xf numFmtId="0" fontId="5" fillId="7" borderId="0" xfId="0" applyNumberFormat="1" applyFont="1" applyFill="1" applyBorder="1" applyAlignment="1">
      <alignment horizontal="left" vertical="top"/>
    </xf>
    <xf numFmtId="2" fontId="14" fillId="7" borderId="0" xfId="0" applyNumberFormat="1" applyFont="1" applyFill="1" applyBorder="1"/>
    <xf numFmtId="0" fontId="0" fillId="7" borderId="0" xfId="0" applyFill="1"/>
    <xf numFmtId="164" fontId="14" fillId="7" borderId="0" xfId="0" applyNumberFormat="1" applyFont="1" applyFill="1" applyBorder="1"/>
    <xf numFmtId="0" fontId="5" fillId="6" borderId="0" xfId="0" applyFont="1" applyFill="1" applyBorder="1" applyAlignment="1">
      <alignment horizontal="left"/>
    </xf>
    <xf numFmtId="0" fontId="5" fillId="6" borderId="0" xfId="1352" applyFont="1" applyFill="1" applyBorder="1" applyAlignment="1">
      <alignment horizontal="left"/>
    </xf>
    <xf numFmtId="2" fontId="14" fillId="6" borderId="0" xfId="0" applyNumberFormat="1" applyFont="1" applyFill="1" applyBorder="1"/>
    <xf numFmtId="0" fontId="5" fillId="8" borderId="0" xfId="0" applyNumberFormat="1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left"/>
    </xf>
    <xf numFmtId="0" fontId="5" fillId="8" borderId="0" xfId="1352" applyFont="1" applyFill="1" applyBorder="1" applyAlignment="1">
      <alignment horizontal="left"/>
    </xf>
    <xf numFmtId="0" fontId="14" fillId="8" borderId="0" xfId="0" applyFont="1" applyFill="1" applyBorder="1"/>
    <xf numFmtId="0" fontId="5" fillId="8" borderId="0" xfId="0" applyFont="1" applyFill="1" applyBorder="1" applyAlignment="1">
      <alignment horizontal="left" vertical="top"/>
    </xf>
    <xf numFmtId="0" fontId="5" fillId="8" borderId="0" xfId="0" applyNumberFormat="1" applyFont="1" applyFill="1" applyBorder="1" applyAlignment="1">
      <alignment horizontal="left" vertical="top"/>
    </xf>
    <xf numFmtId="2" fontId="14" fillId="8" borderId="0" xfId="0" applyNumberFormat="1" applyFont="1" applyFill="1" applyBorder="1"/>
    <xf numFmtId="0" fontId="0" fillId="8" borderId="0" xfId="0" applyFill="1"/>
    <xf numFmtId="164" fontId="14" fillId="8" borderId="0" xfId="0" applyNumberFormat="1" applyFont="1" applyFill="1" applyBorder="1"/>
    <xf numFmtId="0" fontId="0" fillId="7" borderId="2" xfId="0" applyFill="1" applyBorder="1"/>
    <xf numFmtId="2" fontId="14" fillId="7" borderId="2" xfId="0" applyNumberFormat="1" applyFont="1" applyFill="1" applyBorder="1"/>
    <xf numFmtId="2" fontId="0" fillId="7" borderId="2" xfId="0" applyNumberFormat="1" applyFill="1" applyBorder="1"/>
    <xf numFmtId="0" fontId="0" fillId="6" borderId="2" xfId="0" applyFill="1" applyBorder="1"/>
    <xf numFmtId="2" fontId="0" fillId="6" borderId="2" xfId="0" applyNumberFormat="1" applyFill="1" applyBorder="1"/>
    <xf numFmtId="0" fontId="0" fillId="8" borderId="2" xfId="0" applyFill="1" applyBorder="1"/>
    <xf numFmtId="2" fontId="14" fillId="8" borderId="2" xfId="0" applyNumberFormat="1" applyFont="1" applyFill="1" applyBorder="1"/>
    <xf numFmtId="2" fontId="0" fillId="8" borderId="2" xfId="0" applyNumberFormat="1" applyFill="1" applyBorder="1"/>
    <xf numFmtId="0" fontId="13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1352" applyFont="1" applyFill="1" applyBorder="1" applyAlignment="1">
      <alignment horizontal="left"/>
    </xf>
    <xf numFmtId="2" fontId="14" fillId="4" borderId="0" xfId="0" applyNumberFormat="1" applyFont="1" applyFill="1" applyBorder="1"/>
    <xf numFmtId="0" fontId="0" fillId="0" borderId="2" xfId="0" applyFill="1" applyBorder="1"/>
    <xf numFmtId="2" fontId="16" fillId="0" borderId="0" xfId="0" applyNumberFormat="1" applyFont="1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/>
    </xf>
    <xf numFmtId="2" fontId="0" fillId="0" borderId="2" xfId="0" applyNumberFormat="1" applyFill="1" applyBorder="1"/>
    <xf numFmtId="1" fontId="0" fillId="0" borderId="2" xfId="0" applyNumberFormat="1" applyFill="1" applyBorder="1"/>
    <xf numFmtId="0" fontId="14" fillId="0" borderId="1" xfId="0" applyFont="1" applyFill="1" applyBorder="1"/>
    <xf numFmtId="2" fontId="16" fillId="4" borderId="0" xfId="0" applyNumberFormat="1" applyFont="1" applyFill="1"/>
    <xf numFmtId="0" fontId="9" fillId="4" borderId="0" xfId="0" applyFont="1" applyFill="1"/>
    <xf numFmtId="2" fontId="14" fillId="4" borderId="0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left" vertical="top"/>
    </xf>
    <xf numFmtId="0" fontId="5" fillId="4" borderId="2" xfId="6" applyFont="1" applyFill="1" applyBorder="1" applyAlignment="1">
      <alignment horizontal="left" vertical="top"/>
    </xf>
    <xf numFmtId="1" fontId="0" fillId="4" borderId="2" xfId="0" applyNumberFormat="1" applyFill="1" applyBorder="1"/>
    <xf numFmtId="0" fontId="0" fillId="0" borderId="0" xfId="0" applyFill="1" applyBorder="1"/>
    <xf numFmtId="0" fontId="14" fillId="4" borderId="3" xfId="0" applyFont="1" applyFill="1" applyBorder="1"/>
    <xf numFmtId="2" fontId="0" fillId="0" borderId="0" xfId="0" applyNumberFormat="1"/>
    <xf numFmtId="1" fontId="0" fillId="0" borderId="0" xfId="0" applyNumberFormat="1" applyFill="1"/>
    <xf numFmtId="3" fontId="14" fillId="0" borderId="2" xfId="0" applyNumberFormat="1" applyFont="1" applyFill="1" applyBorder="1"/>
    <xf numFmtId="3" fontId="0" fillId="0" borderId="2" xfId="0" applyNumberFormat="1" applyFill="1" applyBorder="1"/>
    <xf numFmtId="2" fontId="0" fillId="0" borderId="2" xfId="0" applyNumberFormat="1" applyFont="1" applyFill="1" applyBorder="1"/>
    <xf numFmtId="1" fontId="0" fillId="0" borderId="2" xfId="0" applyNumberFormat="1" applyFont="1" applyFill="1" applyBorder="1"/>
    <xf numFmtId="1" fontId="14" fillId="0" borderId="0" xfId="0" applyNumberFormat="1" applyFont="1" applyFill="1"/>
    <xf numFmtId="164" fontId="14" fillId="0" borderId="0" xfId="0" applyNumberFormat="1" applyFont="1" applyFill="1"/>
    <xf numFmtId="0" fontId="16" fillId="0" borderId="0" xfId="0" applyFont="1" applyFill="1"/>
    <xf numFmtId="0" fontId="5" fillId="0" borderId="0" xfId="0" applyFont="1" applyFill="1" applyBorder="1" applyAlignment="1">
      <alignment horizontal="left" vertical="center"/>
    </xf>
  </cellXfs>
  <cellStyles count="2115"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Normal" xfId="0" builtinId="0"/>
    <cellStyle name="Normal 10" xfId="3"/>
    <cellStyle name="Normal 2" xfId="1"/>
    <cellStyle name="Normal 2 2 2" xfId="7"/>
    <cellStyle name="Normal 2 3" xfId="6"/>
    <cellStyle name="Normal 2 4" xfId="4"/>
    <cellStyle name="Normal 2 5" xfId="1352"/>
    <cellStyle name="Normal 3" xfId="2"/>
    <cellStyle name="Normal 3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'CO2'!$X$4:$X$17</c:f>
              <c:numCache>
                <c:formatCode>General</c:formatCode>
                <c:ptCount val="14"/>
                <c:pt idx="0">
                  <c:v>0.957</c:v>
                </c:pt>
                <c:pt idx="1">
                  <c:v>0.95</c:v>
                </c:pt>
                <c:pt idx="2">
                  <c:v>0.929</c:v>
                </c:pt>
                <c:pt idx="3">
                  <c:v>0.917</c:v>
                </c:pt>
                <c:pt idx="4">
                  <c:v>0.916</c:v>
                </c:pt>
                <c:pt idx="5">
                  <c:v>0.94</c:v>
                </c:pt>
                <c:pt idx="6">
                  <c:v>0.879</c:v>
                </c:pt>
                <c:pt idx="7">
                  <c:v>0.873</c:v>
                </c:pt>
                <c:pt idx="8">
                  <c:v>0.869</c:v>
                </c:pt>
                <c:pt idx="9">
                  <c:v>0.868</c:v>
                </c:pt>
                <c:pt idx="10">
                  <c:v>0.868</c:v>
                </c:pt>
                <c:pt idx="11">
                  <c:v>0.865</c:v>
                </c:pt>
                <c:pt idx="12">
                  <c:v>0.861</c:v>
                </c:pt>
                <c:pt idx="13">
                  <c:v>0.85</c:v>
                </c:pt>
              </c:numCache>
            </c:numRef>
          </c:xVal>
          <c:yVal>
            <c:numRef>
              <c:f>'CO2'!$Y$4:$Y$17</c:f>
              <c:numCache>
                <c:formatCode>General</c:formatCode>
                <c:ptCount val="14"/>
                <c:pt idx="0" formatCode="0">
                  <c:v>1588.0</c:v>
                </c:pt>
                <c:pt idx="1">
                  <c:v>1847.0</c:v>
                </c:pt>
                <c:pt idx="2">
                  <c:v>1688.0</c:v>
                </c:pt>
                <c:pt idx="3">
                  <c:v>1659.0</c:v>
                </c:pt>
                <c:pt idx="4">
                  <c:v>1653.0</c:v>
                </c:pt>
                <c:pt idx="5">
                  <c:v>1704.0</c:v>
                </c:pt>
                <c:pt idx="6">
                  <c:v>1594.0</c:v>
                </c:pt>
                <c:pt idx="7">
                  <c:v>1582.0</c:v>
                </c:pt>
                <c:pt idx="8">
                  <c:v>1575.0</c:v>
                </c:pt>
                <c:pt idx="9">
                  <c:v>1571.0</c:v>
                </c:pt>
                <c:pt idx="10">
                  <c:v>1574.0</c:v>
                </c:pt>
                <c:pt idx="11">
                  <c:v>1569.0</c:v>
                </c:pt>
                <c:pt idx="12">
                  <c:v>1559.0</c:v>
                </c:pt>
                <c:pt idx="13">
                  <c:v>1537.0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718504"/>
        <c:axId val="-2113721608"/>
      </c:scatterChart>
      <c:valAx>
        <c:axId val="-211371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3721608"/>
        <c:crosses val="autoZero"/>
        <c:crossBetween val="midCat"/>
      </c:valAx>
      <c:valAx>
        <c:axId val="-2113721608"/>
        <c:scaling>
          <c:orientation val="minMax"/>
          <c:min val="150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13718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CO!$X$432:$X$460</c:f>
              <c:numCache>
                <c:formatCode>General</c:formatCode>
                <c:ptCount val="29"/>
                <c:pt idx="0">
                  <c:v>0.94</c:v>
                </c:pt>
                <c:pt idx="1">
                  <c:v>0.953</c:v>
                </c:pt>
                <c:pt idx="2">
                  <c:v>0.971</c:v>
                </c:pt>
                <c:pt idx="3">
                  <c:v>0.936</c:v>
                </c:pt>
                <c:pt idx="4">
                  <c:v>0.965</c:v>
                </c:pt>
                <c:pt idx="5">
                  <c:v>0.943</c:v>
                </c:pt>
                <c:pt idx="6">
                  <c:v>0.909</c:v>
                </c:pt>
                <c:pt idx="7">
                  <c:v>0.946</c:v>
                </c:pt>
                <c:pt idx="8">
                  <c:v>0.94</c:v>
                </c:pt>
                <c:pt idx="9">
                  <c:v>0.912</c:v>
                </c:pt>
                <c:pt idx="10">
                  <c:v>0.919</c:v>
                </c:pt>
                <c:pt idx="11">
                  <c:v>0.932</c:v>
                </c:pt>
                <c:pt idx="12">
                  <c:v>0.887</c:v>
                </c:pt>
                <c:pt idx="13">
                  <c:v>0.799</c:v>
                </c:pt>
                <c:pt idx="14">
                  <c:v>0.811</c:v>
                </c:pt>
                <c:pt idx="15">
                  <c:v>0.8</c:v>
                </c:pt>
                <c:pt idx="16">
                  <c:v>0.8</c:v>
                </c:pt>
                <c:pt idx="17">
                  <c:v>0.812</c:v>
                </c:pt>
                <c:pt idx="18">
                  <c:v>0.599</c:v>
                </c:pt>
                <c:pt idx="19">
                  <c:v>0.799</c:v>
                </c:pt>
                <c:pt idx="20">
                  <c:v>0.795</c:v>
                </c:pt>
                <c:pt idx="21">
                  <c:v>0.816</c:v>
                </c:pt>
                <c:pt idx="22">
                  <c:v>0.817</c:v>
                </c:pt>
                <c:pt idx="23">
                  <c:v>0.864</c:v>
                </c:pt>
                <c:pt idx="24">
                  <c:v>0.841</c:v>
                </c:pt>
                <c:pt idx="25">
                  <c:v>0.84</c:v>
                </c:pt>
                <c:pt idx="26">
                  <c:v>0.81</c:v>
                </c:pt>
                <c:pt idx="27">
                  <c:v>0.881</c:v>
                </c:pt>
                <c:pt idx="28">
                  <c:v>0.829</c:v>
                </c:pt>
              </c:numCache>
            </c:numRef>
          </c:xVal>
          <c:yVal>
            <c:numRef>
              <c:f>CO!$Y$432:$Y$460</c:f>
              <c:numCache>
                <c:formatCode>0.00</c:formatCode>
                <c:ptCount val="29"/>
                <c:pt idx="0">
                  <c:v>69.0</c:v>
                </c:pt>
                <c:pt idx="1">
                  <c:v>54.00656509</c:v>
                </c:pt>
                <c:pt idx="2">
                  <c:v>32.7</c:v>
                </c:pt>
                <c:pt idx="3">
                  <c:v>72.8397892</c:v>
                </c:pt>
                <c:pt idx="4">
                  <c:v>40.63</c:v>
                </c:pt>
                <c:pt idx="5" formatCode="General">
                  <c:v>29.0</c:v>
                </c:pt>
                <c:pt idx="6" formatCode="General">
                  <c:v>48.0</c:v>
                </c:pt>
                <c:pt idx="7" formatCode="General">
                  <c:v>30.0</c:v>
                </c:pt>
                <c:pt idx="8" formatCode="General">
                  <c:v>33.0</c:v>
                </c:pt>
                <c:pt idx="9" formatCode="General">
                  <c:v>58.0</c:v>
                </c:pt>
                <c:pt idx="10" formatCode="General">
                  <c:v>58.0</c:v>
                </c:pt>
                <c:pt idx="11" formatCode="General">
                  <c:v>39.0</c:v>
                </c:pt>
                <c:pt idx="12" formatCode="General">
                  <c:v>71.0</c:v>
                </c:pt>
                <c:pt idx="13" formatCode="General">
                  <c:v>170.0</c:v>
                </c:pt>
                <c:pt idx="14" formatCode="General">
                  <c:v>152.0</c:v>
                </c:pt>
                <c:pt idx="15" formatCode="General">
                  <c:v>160.0</c:v>
                </c:pt>
                <c:pt idx="16" formatCode="General">
                  <c:v>165.0</c:v>
                </c:pt>
                <c:pt idx="17" formatCode="General">
                  <c:v>148.0</c:v>
                </c:pt>
                <c:pt idx="18" formatCode="General">
                  <c:v>326.0</c:v>
                </c:pt>
                <c:pt idx="19" formatCode="General">
                  <c:v>167.0</c:v>
                </c:pt>
                <c:pt idx="20" formatCode="General">
                  <c:v>176.0</c:v>
                </c:pt>
                <c:pt idx="21" formatCode="General">
                  <c:v>153.0</c:v>
                </c:pt>
                <c:pt idx="22" formatCode="General">
                  <c:v>146.0</c:v>
                </c:pt>
                <c:pt idx="23" formatCode="General">
                  <c:v>103.0</c:v>
                </c:pt>
                <c:pt idx="24" formatCode="General">
                  <c:v>127.0</c:v>
                </c:pt>
                <c:pt idx="25" formatCode="General">
                  <c:v>123.0</c:v>
                </c:pt>
                <c:pt idx="26" formatCode="General">
                  <c:v>139.0</c:v>
                </c:pt>
                <c:pt idx="27" formatCode="General">
                  <c:v>93.0</c:v>
                </c:pt>
                <c:pt idx="28" formatCode="General">
                  <c:v>142.0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145816"/>
        <c:axId val="-2110142792"/>
      </c:scatterChart>
      <c:valAx>
        <c:axId val="-2110145816"/>
        <c:scaling>
          <c:orientation val="minMax"/>
          <c:min val="0.5"/>
        </c:scaling>
        <c:delete val="0"/>
        <c:axPos val="b"/>
        <c:numFmt formatCode="General" sourceLinked="1"/>
        <c:majorTickMark val="out"/>
        <c:minorTickMark val="none"/>
        <c:tickLblPos val="nextTo"/>
        <c:crossAx val="-2110142792"/>
        <c:crosses val="autoZero"/>
        <c:crossBetween val="midCat"/>
      </c:valAx>
      <c:valAx>
        <c:axId val="-2110142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0145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CO!$X$236:$X$414</c:f>
              <c:numCache>
                <c:formatCode>General</c:formatCode>
                <c:ptCount val="179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0.972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0.96</c:v>
                </c:pt>
                <c:pt idx="8">
                  <c:v>0.959</c:v>
                </c:pt>
                <c:pt idx="9">
                  <c:v>0.951</c:v>
                </c:pt>
                <c:pt idx="10">
                  <c:v>0.95</c:v>
                </c:pt>
                <c:pt idx="11">
                  <c:v>0.95</c:v>
                </c:pt>
                <c:pt idx="12">
                  <c:v>0.949</c:v>
                </c:pt>
                <c:pt idx="13">
                  <c:v>0.948400973</c:v>
                </c:pt>
                <c:pt idx="14">
                  <c:v>0.947</c:v>
                </c:pt>
                <c:pt idx="15">
                  <c:v>0.941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0.938367615</c:v>
                </c:pt>
                <c:pt idx="22">
                  <c:v>0.936</c:v>
                </c:pt>
                <c:pt idx="23">
                  <c:v>0.935</c:v>
                </c:pt>
                <c:pt idx="24">
                  <c:v>0.934</c:v>
                </c:pt>
                <c:pt idx="25">
                  <c:v>0.933</c:v>
                </c:pt>
                <c:pt idx="26">
                  <c:v>0.931630827</c:v>
                </c:pt>
                <c:pt idx="27">
                  <c:v>0.93</c:v>
                </c:pt>
                <c:pt idx="28">
                  <c:v>0.93</c:v>
                </c:pt>
                <c:pt idx="29">
                  <c:v>0.928</c:v>
                </c:pt>
                <c:pt idx="30">
                  <c:v>0.92572143</c:v>
                </c:pt>
                <c:pt idx="31">
                  <c:v>0.925</c:v>
                </c:pt>
                <c:pt idx="32">
                  <c:v>0.924018379</c:v>
                </c:pt>
                <c:pt idx="33">
                  <c:v>0.92372757</c:v>
                </c:pt>
                <c:pt idx="34">
                  <c:v>0.923</c:v>
                </c:pt>
                <c:pt idx="35">
                  <c:v>0.92</c:v>
                </c:pt>
                <c:pt idx="36">
                  <c:v>0.92</c:v>
                </c:pt>
                <c:pt idx="37">
                  <c:v>0.918659298</c:v>
                </c:pt>
                <c:pt idx="38">
                  <c:v>0.918314079</c:v>
                </c:pt>
                <c:pt idx="39">
                  <c:v>0.918096547</c:v>
                </c:pt>
                <c:pt idx="40">
                  <c:v>0.918</c:v>
                </c:pt>
                <c:pt idx="41">
                  <c:v>0.916377434</c:v>
                </c:pt>
                <c:pt idx="42">
                  <c:v>0.916377434</c:v>
                </c:pt>
                <c:pt idx="43">
                  <c:v>0.916200701</c:v>
                </c:pt>
                <c:pt idx="44">
                  <c:v>0.916</c:v>
                </c:pt>
                <c:pt idx="45">
                  <c:v>0.915</c:v>
                </c:pt>
                <c:pt idx="46">
                  <c:v>0.914260534</c:v>
                </c:pt>
                <c:pt idx="47">
                  <c:v>0.914</c:v>
                </c:pt>
                <c:pt idx="48">
                  <c:v>0.913</c:v>
                </c:pt>
                <c:pt idx="49">
                  <c:v>0.910481924</c:v>
                </c:pt>
                <c:pt idx="50">
                  <c:v>0.91</c:v>
                </c:pt>
                <c:pt idx="51">
                  <c:v>0.91</c:v>
                </c:pt>
                <c:pt idx="52">
                  <c:v>0.909936387</c:v>
                </c:pt>
                <c:pt idx="53">
                  <c:v>0.906</c:v>
                </c:pt>
                <c:pt idx="54">
                  <c:v>0.90572358</c:v>
                </c:pt>
                <c:pt idx="55">
                  <c:v>0.904</c:v>
                </c:pt>
                <c:pt idx="56">
                  <c:v>0.903989899</c:v>
                </c:pt>
                <c:pt idx="57">
                  <c:v>0.903</c:v>
                </c:pt>
                <c:pt idx="58">
                  <c:v>0.903</c:v>
                </c:pt>
                <c:pt idx="59">
                  <c:v>0.902</c:v>
                </c:pt>
                <c:pt idx="60">
                  <c:v>0.902</c:v>
                </c:pt>
                <c:pt idx="61">
                  <c:v>0.901</c:v>
                </c:pt>
                <c:pt idx="62">
                  <c:v>0.901</c:v>
                </c:pt>
                <c:pt idx="63">
                  <c:v>0.901</c:v>
                </c:pt>
                <c:pt idx="64">
                  <c:v>0.9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0.899803923</c:v>
                </c:pt>
                <c:pt idx="72">
                  <c:v>0.899</c:v>
                </c:pt>
                <c:pt idx="73">
                  <c:v>0.898</c:v>
                </c:pt>
                <c:pt idx="74">
                  <c:v>0.897</c:v>
                </c:pt>
                <c:pt idx="75">
                  <c:v>0.895</c:v>
                </c:pt>
                <c:pt idx="76">
                  <c:v>0.895</c:v>
                </c:pt>
                <c:pt idx="77">
                  <c:v>0.894</c:v>
                </c:pt>
                <c:pt idx="78">
                  <c:v>0.893</c:v>
                </c:pt>
                <c:pt idx="79">
                  <c:v>0.892</c:v>
                </c:pt>
                <c:pt idx="80">
                  <c:v>0.892</c:v>
                </c:pt>
                <c:pt idx="81">
                  <c:v>0.89</c:v>
                </c:pt>
                <c:pt idx="82">
                  <c:v>0.89</c:v>
                </c:pt>
                <c:pt idx="83">
                  <c:v>0.89</c:v>
                </c:pt>
                <c:pt idx="84">
                  <c:v>0.89</c:v>
                </c:pt>
                <c:pt idx="85">
                  <c:v>0.89</c:v>
                </c:pt>
                <c:pt idx="86">
                  <c:v>0.89</c:v>
                </c:pt>
                <c:pt idx="87">
                  <c:v>0.89</c:v>
                </c:pt>
                <c:pt idx="88">
                  <c:v>0.89</c:v>
                </c:pt>
                <c:pt idx="89">
                  <c:v>0.889626457</c:v>
                </c:pt>
                <c:pt idx="90">
                  <c:v>0.889</c:v>
                </c:pt>
                <c:pt idx="91">
                  <c:v>0.889</c:v>
                </c:pt>
                <c:pt idx="92">
                  <c:v>0.886</c:v>
                </c:pt>
                <c:pt idx="93">
                  <c:v>0.886</c:v>
                </c:pt>
                <c:pt idx="94">
                  <c:v>0.885</c:v>
                </c:pt>
                <c:pt idx="95">
                  <c:v>0.885</c:v>
                </c:pt>
                <c:pt idx="96">
                  <c:v>0.885</c:v>
                </c:pt>
                <c:pt idx="97">
                  <c:v>0.884</c:v>
                </c:pt>
                <c:pt idx="98">
                  <c:v>0.884</c:v>
                </c:pt>
                <c:pt idx="99">
                  <c:v>0.882</c:v>
                </c:pt>
                <c:pt idx="100">
                  <c:v>0.88</c:v>
                </c:pt>
                <c:pt idx="101">
                  <c:v>0.88</c:v>
                </c:pt>
                <c:pt idx="102">
                  <c:v>0.88</c:v>
                </c:pt>
                <c:pt idx="103">
                  <c:v>0.879</c:v>
                </c:pt>
                <c:pt idx="104">
                  <c:v>0.878</c:v>
                </c:pt>
                <c:pt idx="105">
                  <c:v>0.876</c:v>
                </c:pt>
                <c:pt idx="106">
                  <c:v>0.876</c:v>
                </c:pt>
                <c:pt idx="107">
                  <c:v>0.876</c:v>
                </c:pt>
                <c:pt idx="108">
                  <c:v>0.876</c:v>
                </c:pt>
                <c:pt idx="109">
                  <c:v>0.875</c:v>
                </c:pt>
                <c:pt idx="110">
                  <c:v>0.875</c:v>
                </c:pt>
                <c:pt idx="111">
                  <c:v>0.875</c:v>
                </c:pt>
                <c:pt idx="112">
                  <c:v>0.873</c:v>
                </c:pt>
                <c:pt idx="113">
                  <c:v>0.871</c:v>
                </c:pt>
                <c:pt idx="114">
                  <c:v>0.871</c:v>
                </c:pt>
                <c:pt idx="115">
                  <c:v>0.87</c:v>
                </c:pt>
                <c:pt idx="116">
                  <c:v>0.869</c:v>
                </c:pt>
                <c:pt idx="117">
                  <c:v>0.869</c:v>
                </c:pt>
                <c:pt idx="118">
                  <c:v>0.866</c:v>
                </c:pt>
                <c:pt idx="119">
                  <c:v>0.866</c:v>
                </c:pt>
                <c:pt idx="120">
                  <c:v>0.865</c:v>
                </c:pt>
                <c:pt idx="121">
                  <c:v>0.864</c:v>
                </c:pt>
                <c:pt idx="122">
                  <c:v>0.863</c:v>
                </c:pt>
                <c:pt idx="123">
                  <c:v>0.863</c:v>
                </c:pt>
                <c:pt idx="124">
                  <c:v>0.86</c:v>
                </c:pt>
                <c:pt idx="125">
                  <c:v>0.854</c:v>
                </c:pt>
                <c:pt idx="126">
                  <c:v>0.85</c:v>
                </c:pt>
                <c:pt idx="127">
                  <c:v>0.85</c:v>
                </c:pt>
                <c:pt idx="128">
                  <c:v>0.849</c:v>
                </c:pt>
                <c:pt idx="129">
                  <c:v>0.847</c:v>
                </c:pt>
                <c:pt idx="130">
                  <c:v>0.846</c:v>
                </c:pt>
                <c:pt idx="131">
                  <c:v>0.845</c:v>
                </c:pt>
                <c:pt idx="132">
                  <c:v>0.842</c:v>
                </c:pt>
                <c:pt idx="133">
                  <c:v>0.841</c:v>
                </c:pt>
                <c:pt idx="134">
                  <c:v>0.841</c:v>
                </c:pt>
                <c:pt idx="135">
                  <c:v>0.841</c:v>
                </c:pt>
                <c:pt idx="136">
                  <c:v>0.84</c:v>
                </c:pt>
                <c:pt idx="137">
                  <c:v>0.84</c:v>
                </c:pt>
                <c:pt idx="138">
                  <c:v>0.832</c:v>
                </c:pt>
                <c:pt idx="139">
                  <c:v>0.83</c:v>
                </c:pt>
                <c:pt idx="140">
                  <c:v>0.822</c:v>
                </c:pt>
                <c:pt idx="141">
                  <c:v>0.822</c:v>
                </c:pt>
                <c:pt idx="142">
                  <c:v>0.816</c:v>
                </c:pt>
                <c:pt idx="143">
                  <c:v>0.814</c:v>
                </c:pt>
                <c:pt idx="144">
                  <c:v>0.813</c:v>
                </c:pt>
                <c:pt idx="145">
                  <c:v>0.81</c:v>
                </c:pt>
                <c:pt idx="146">
                  <c:v>0.81</c:v>
                </c:pt>
                <c:pt idx="147">
                  <c:v>0.805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0.796</c:v>
                </c:pt>
                <c:pt idx="153">
                  <c:v>0.794</c:v>
                </c:pt>
                <c:pt idx="154">
                  <c:v>0.79</c:v>
                </c:pt>
                <c:pt idx="155">
                  <c:v>0.789</c:v>
                </c:pt>
                <c:pt idx="156">
                  <c:v>0.784</c:v>
                </c:pt>
                <c:pt idx="157">
                  <c:v>0.78</c:v>
                </c:pt>
                <c:pt idx="158">
                  <c:v>0.78</c:v>
                </c:pt>
                <c:pt idx="159">
                  <c:v>0.78</c:v>
                </c:pt>
                <c:pt idx="160">
                  <c:v>0.78</c:v>
                </c:pt>
                <c:pt idx="161">
                  <c:v>0.775</c:v>
                </c:pt>
                <c:pt idx="162">
                  <c:v>0.775</c:v>
                </c:pt>
                <c:pt idx="163">
                  <c:v>0.77</c:v>
                </c:pt>
                <c:pt idx="164">
                  <c:v>0.77</c:v>
                </c:pt>
                <c:pt idx="165">
                  <c:v>0.77</c:v>
                </c:pt>
                <c:pt idx="166">
                  <c:v>0.756</c:v>
                </c:pt>
                <c:pt idx="167">
                  <c:v>0.74</c:v>
                </c:pt>
                <c:pt idx="168">
                  <c:v>0.74</c:v>
                </c:pt>
                <c:pt idx="169">
                  <c:v>0.74</c:v>
                </c:pt>
                <c:pt idx="170">
                  <c:v>0.74</c:v>
                </c:pt>
                <c:pt idx="171">
                  <c:v>0.73</c:v>
                </c:pt>
                <c:pt idx="172">
                  <c:v>0.729</c:v>
                </c:pt>
                <c:pt idx="173">
                  <c:v>0.71</c:v>
                </c:pt>
                <c:pt idx="174">
                  <c:v>0.71</c:v>
                </c:pt>
                <c:pt idx="175">
                  <c:v>0.69</c:v>
                </c:pt>
                <c:pt idx="176">
                  <c:v>0.66</c:v>
                </c:pt>
                <c:pt idx="177">
                  <c:v>0.643</c:v>
                </c:pt>
                <c:pt idx="178">
                  <c:v>0.63</c:v>
                </c:pt>
              </c:numCache>
            </c:numRef>
          </c:xVal>
          <c:yVal>
            <c:numRef>
              <c:f>CO!$Y$236:$Y$414</c:f>
              <c:numCache>
                <c:formatCode>0.00</c:formatCode>
                <c:ptCount val="179"/>
                <c:pt idx="0">
                  <c:v>26.8</c:v>
                </c:pt>
                <c:pt idx="1">
                  <c:v>15.1</c:v>
                </c:pt>
                <c:pt idx="2">
                  <c:v>11.2</c:v>
                </c:pt>
                <c:pt idx="3" formatCode="General">
                  <c:v>28.0</c:v>
                </c:pt>
                <c:pt idx="4">
                  <c:v>37.0</c:v>
                </c:pt>
                <c:pt idx="5">
                  <c:v>35.7</c:v>
                </c:pt>
                <c:pt idx="6">
                  <c:v>19.9</c:v>
                </c:pt>
                <c:pt idx="7">
                  <c:v>45.0</c:v>
                </c:pt>
                <c:pt idx="8">
                  <c:v>51.0</c:v>
                </c:pt>
                <c:pt idx="9" formatCode="General">
                  <c:v>20.0</c:v>
                </c:pt>
                <c:pt idx="10">
                  <c:v>61.0</c:v>
                </c:pt>
                <c:pt idx="11">
                  <c:v>58.8</c:v>
                </c:pt>
                <c:pt idx="12" formatCode="General">
                  <c:v>50.0</c:v>
                </c:pt>
                <c:pt idx="13">
                  <c:v>59.42958104</c:v>
                </c:pt>
                <c:pt idx="14" formatCode="General">
                  <c:v>19.0</c:v>
                </c:pt>
                <c:pt idx="15" formatCode="General">
                  <c:v>32.0</c:v>
                </c:pt>
                <c:pt idx="16">
                  <c:v>73.0</c:v>
                </c:pt>
                <c:pt idx="17">
                  <c:v>73.0</c:v>
                </c:pt>
                <c:pt idx="18">
                  <c:v>72.0</c:v>
                </c:pt>
                <c:pt idx="19" formatCode="General">
                  <c:v>56.0</c:v>
                </c:pt>
                <c:pt idx="20">
                  <c:v>56.0</c:v>
                </c:pt>
                <c:pt idx="21">
                  <c:v>70.12097903999999</c:v>
                </c:pt>
                <c:pt idx="22" formatCode="General">
                  <c:v>63.0</c:v>
                </c:pt>
                <c:pt idx="23" formatCode="General">
                  <c:v>63.0</c:v>
                </c:pt>
                <c:pt idx="24">
                  <c:v>80.61</c:v>
                </c:pt>
                <c:pt idx="25" formatCode="General">
                  <c:v>63.0</c:v>
                </c:pt>
                <c:pt idx="26">
                  <c:v>77.89561419</c:v>
                </c:pt>
                <c:pt idx="27">
                  <c:v>82.9</c:v>
                </c:pt>
                <c:pt idx="28" formatCode="General">
                  <c:v>66.0</c:v>
                </c:pt>
                <c:pt idx="29" formatCode="General">
                  <c:v>40.0</c:v>
                </c:pt>
                <c:pt idx="30">
                  <c:v>84.23493314</c:v>
                </c:pt>
                <c:pt idx="31" formatCode="General">
                  <c:v>44.0</c:v>
                </c:pt>
                <c:pt idx="32">
                  <c:v>86.75751445</c:v>
                </c:pt>
                <c:pt idx="33">
                  <c:v>86.61083816999999</c:v>
                </c:pt>
                <c:pt idx="34">
                  <c:v>89.3</c:v>
                </c:pt>
                <c:pt idx="35">
                  <c:v>88.4</c:v>
                </c:pt>
                <c:pt idx="36">
                  <c:v>84.6</c:v>
                </c:pt>
                <c:pt idx="37">
                  <c:v>92.34649164</c:v>
                </c:pt>
                <c:pt idx="38">
                  <c:v>92.85165852</c:v>
                </c:pt>
                <c:pt idx="39">
                  <c:v>93.09895116</c:v>
                </c:pt>
                <c:pt idx="40">
                  <c:v>94.9</c:v>
                </c:pt>
                <c:pt idx="41">
                  <c:v>94.20653328</c:v>
                </c:pt>
                <c:pt idx="42">
                  <c:v>94.20653328</c:v>
                </c:pt>
                <c:pt idx="43">
                  <c:v>93.7</c:v>
                </c:pt>
                <c:pt idx="44">
                  <c:v>97.4</c:v>
                </c:pt>
                <c:pt idx="45">
                  <c:v>92.0</c:v>
                </c:pt>
                <c:pt idx="46">
                  <c:v>97.41359424</c:v>
                </c:pt>
                <c:pt idx="47" formatCode="General">
                  <c:v>58.0</c:v>
                </c:pt>
                <c:pt idx="48">
                  <c:v>97.0</c:v>
                </c:pt>
                <c:pt idx="49">
                  <c:v>100.5726699</c:v>
                </c:pt>
                <c:pt idx="50">
                  <c:v>96.9</c:v>
                </c:pt>
                <c:pt idx="51">
                  <c:v>67.0</c:v>
                </c:pt>
                <c:pt idx="52">
                  <c:v>101.3779491</c:v>
                </c:pt>
                <c:pt idx="53">
                  <c:v>106.8</c:v>
                </c:pt>
                <c:pt idx="54">
                  <c:v>106.0421372</c:v>
                </c:pt>
                <c:pt idx="55">
                  <c:v>110.9</c:v>
                </c:pt>
                <c:pt idx="56">
                  <c:v>107.0830895</c:v>
                </c:pt>
                <c:pt idx="57">
                  <c:v>112.8</c:v>
                </c:pt>
                <c:pt idx="58">
                  <c:v>112.6</c:v>
                </c:pt>
                <c:pt idx="59">
                  <c:v>113.7</c:v>
                </c:pt>
                <c:pt idx="60">
                  <c:v>113.6</c:v>
                </c:pt>
                <c:pt idx="61">
                  <c:v>114.9</c:v>
                </c:pt>
                <c:pt idx="62">
                  <c:v>114.5</c:v>
                </c:pt>
                <c:pt idx="63">
                  <c:v>114.4</c:v>
                </c:pt>
                <c:pt idx="64">
                  <c:v>115.3</c:v>
                </c:pt>
                <c:pt idx="65">
                  <c:v>113.0</c:v>
                </c:pt>
                <c:pt idx="66">
                  <c:v>102.6666666666667</c:v>
                </c:pt>
                <c:pt idx="67">
                  <c:v>85.0</c:v>
                </c:pt>
                <c:pt idx="68" formatCode="General">
                  <c:v>82.0</c:v>
                </c:pt>
                <c:pt idx="69">
                  <c:v>82.0</c:v>
                </c:pt>
                <c:pt idx="70" formatCode="General">
                  <c:v>66.0</c:v>
                </c:pt>
                <c:pt idx="71">
                  <c:v>113.6</c:v>
                </c:pt>
                <c:pt idx="72">
                  <c:v>117.2</c:v>
                </c:pt>
                <c:pt idx="73">
                  <c:v>117.4</c:v>
                </c:pt>
                <c:pt idx="74">
                  <c:v>119.2</c:v>
                </c:pt>
                <c:pt idx="75">
                  <c:v>121.7</c:v>
                </c:pt>
                <c:pt idx="76">
                  <c:v>121.4</c:v>
                </c:pt>
                <c:pt idx="77">
                  <c:v>122.9</c:v>
                </c:pt>
                <c:pt idx="78" formatCode="General">
                  <c:v>73.0</c:v>
                </c:pt>
                <c:pt idx="79">
                  <c:v>125.1</c:v>
                </c:pt>
                <c:pt idx="80">
                  <c:v>124.9</c:v>
                </c:pt>
                <c:pt idx="81">
                  <c:v>128.4</c:v>
                </c:pt>
                <c:pt idx="82">
                  <c:v>127.4</c:v>
                </c:pt>
                <c:pt idx="83">
                  <c:v>126.9</c:v>
                </c:pt>
                <c:pt idx="84">
                  <c:v>126.8</c:v>
                </c:pt>
                <c:pt idx="85" formatCode="General">
                  <c:v>112.0</c:v>
                </c:pt>
                <c:pt idx="86">
                  <c:v>112.0</c:v>
                </c:pt>
                <c:pt idx="87" formatCode="General">
                  <c:v>101.0</c:v>
                </c:pt>
                <c:pt idx="88">
                  <c:v>101.0</c:v>
                </c:pt>
                <c:pt idx="89">
                  <c:v>126.7422756</c:v>
                </c:pt>
                <c:pt idx="90">
                  <c:v>128.4</c:v>
                </c:pt>
                <c:pt idx="91">
                  <c:v>127.5</c:v>
                </c:pt>
                <c:pt idx="92">
                  <c:v>131.8</c:v>
                </c:pt>
                <c:pt idx="93">
                  <c:v>131.3</c:v>
                </c:pt>
                <c:pt idx="94">
                  <c:v>132.9</c:v>
                </c:pt>
                <c:pt idx="95">
                  <c:v>132.5</c:v>
                </c:pt>
                <c:pt idx="96">
                  <c:v>126.0</c:v>
                </c:pt>
                <c:pt idx="97">
                  <c:v>134.0</c:v>
                </c:pt>
                <c:pt idx="98">
                  <c:v>133.5</c:v>
                </c:pt>
                <c:pt idx="99" formatCode="General">
                  <c:v>73.0</c:v>
                </c:pt>
                <c:pt idx="100">
                  <c:v>126.7</c:v>
                </c:pt>
                <c:pt idx="101" formatCode="General">
                  <c:v>94.0</c:v>
                </c:pt>
                <c:pt idx="102">
                  <c:v>94.0</c:v>
                </c:pt>
                <c:pt idx="103">
                  <c:v>139.5</c:v>
                </c:pt>
                <c:pt idx="104">
                  <c:v>140.7</c:v>
                </c:pt>
                <c:pt idx="105">
                  <c:v>143.2</c:v>
                </c:pt>
                <c:pt idx="106">
                  <c:v>143.1</c:v>
                </c:pt>
                <c:pt idx="107">
                  <c:v>143.1</c:v>
                </c:pt>
                <c:pt idx="108">
                  <c:v>142.7</c:v>
                </c:pt>
                <c:pt idx="109">
                  <c:v>144.8</c:v>
                </c:pt>
                <c:pt idx="110">
                  <c:v>144.0</c:v>
                </c:pt>
                <c:pt idx="111">
                  <c:v>143.8</c:v>
                </c:pt>
                <c:pt idx="112">
                  <c:v>147.1</c:v>
                </c:pt>
                <c:pt idx="113">
                  <c:v>149.0</c:v>
                </c:pt>
                <c:pt idx="114">
                  <c:v>149.0</c:v>
                </c:pt>
                <c:pt idx="115">
                  <c:v>134.9</c:v>
                </c:pt>
                <c:pt idx="116">
                  <c:v>150.9</c:v>
                </c:pt>
                <c:pt idx="117">
                  <c:v>150.8</c:v>
                </c:pt>
                <c:pt idx="118">
                  <c:v>154.6</c:v>
                </c:pt>
                <c:pt idx="119">
                  <c:v>154.2</c:v>
                </c:pt>
                <c:pt idx="120">
                  <c:v>155.1</c:v>
                </c:pt>
                <c:pt idx="121">
                  <c:v>157.0</c:v>
                </c:pt>
                <c:pt idx="122">
                  <c:v>158.4</c:v>
                </c:pt>
                <c:pt idx="123">
                  <c:v>158.3</c:v>
                </c:pt>
                <c:pt idx="124">
                  <c:v>158.0</c:v>
                </c:pt>
                <c:pt idx="125" formatCode="General">
                  <c:v>109.0</c:v>
                </c:pt>
                <c:pt idx="126" formatCode="General">
                  <c:v>142.0</c:v>
                </c:pt>
                <c:pt idx="127">
                  <c:v>130.0</c:v>
                </c:pt>
                <c:pt idx="128">
                  <c:v>173.0</c:v>
                </c:pt>
                <c:pt idx="129" formatCode="General">
                  <c:v>116.0</c:v>
                </c:pt>
                <c:pt idx="130" formatCode="General">
                  <c:v>151.0</c:v>
                </c:pt>
                <c:pt idx="131">
                  <c:v>178.7</c:v>
                </c:pt>
                <c:pt idx="132" formatCode="General">
                  <c:v>122.0</c:v>
                </c:pt>
                <c:pt idx="133" formatCode="General">
                  <c:v>160.0</c:v>
                </c:pt>
                <c:pt idx="134" formatCode="General">
                  <c:v>122.0</c:v>
                </c:pt>
                <c:pt idx="135" formatCode="General">
                  <c:v>120.0</c:v>
                </c:pt>
                <c:pt idx="136">
                  <c:v>136.0</c:v>
                </c:pt>
                <c:pt idx="137">
                  <c:v>127.0</c:v>
                </c:pt>
                <c:pt idx="138" formatCode="General">
                  <c:v>107.0</c:v>
                </c:pt>
                <c:pt idx="139" formatCode="General">
                  <c:v>169.0</c:v>
                </c:pt>
                <c:pt idx="140" formatCode="General">
                  <c:v>176.0</c:v>
                </c:pt>
                <c:pt idx="141" formatCode="General">
                  <c:v>140.0</c:v>
                </c:pt>
                <c:pt idx="142" formatCode="General">
                  <c:v>179.0</c:v>
                </c:pt>
                <c:pt idx="143" formatCode="General">
                  <c:v>140.0</c:v>
                </c:pt>
                <c:pt idx="144" formatCode="General">
                  <c:v>182.0</c:v>
                </c:pt>
                <c:pt idx="145">
                  <c:v>197.0</c:v>
                </c:pt>
                <c:pt idx="146">
                  <c:v>196.0</c:v>
                </c:pt>
                <c:pt idx="147" formatCode="General">
                  <c:v>186.0</c:v>
                </c:pt>
                <c:pt idx="148" formatCode="General">
                  <c:v>198.0</c:v>
                </c:pt>
                <c:pt idx="149">
                  <c:v>198.0</c:v>
                </c:pt>
                <c:pt idx="150">
                  <c:v>196.0</c:v>
                </c:pt>
                <c:pt idx="151">
                  <c:v>157.4</c:v>
                </c:pt>
                <c:pt idx="152" formatCode="General">
                  <c:v>161.0</c:v>
                </c:pt>
                <c:pt idx="153" formatCode="General">
                  <c:v>197.0</c:v>
                </c:pt>
                <c:pt idx="154">
                  <c:v>201.0</c:v>
                </c:pt>
                <c:pt idx="155" formatCode="General">
                  <c:v>214.0</c:v>
                </c:pt>
                <c:pt idx="156" formatCode="General">
                  <c:v>211.0</c:v>
                </c:pt>
                <c:pt idx="157">
                  <c:v>222.0</c:v>
                </c:pt>
                <c:pt idx="158">
                  <c:v>204.0</c:v>
                </c:pt>
                <c:pt idx="159">
                  <c:v>204.0</c:v>
                </c:pt>
                <c:pt idx="160">
                  <c:v>191.0</c:v>
                </c:pt>
                <c:pt idx="161" formatCode="General">
                  <c:v>222.0</c:v>
                </c:pt>
                <c:pt idx="162" formatCode="General">
                  <c:v>215.0</c:v>
                </c:pt>
                <c:pt idx="163" formatCode="General">
                  <c:v>231.0</c:v>
                </c:pt>
                <c:pt idx="164">
                  <c:v>231.0</c:v>
                </c:pt>
                <c:pt idx="165">
                  <c:v>156.0</c:v>
                </c:pt>
                <c:pt idx="166" formatCode="General">
                  <c:v>198.0</c:v>
                </c:pt>
                <c:pt idx="167">
                  <c:v>260.0</c:v>
                </c:pt>
                <c:pt idx="168">
                  <c:v>241.0</c:v>
                </c:pt>
                <c:pt idx="169">
                  <c:v>226.0</c:v>
                </c:pt>
                <c:pt idx="170">
                  <c:v>226.0</c:v>
                </c:pt>
                <c:pt idx="171" formatCode="General">
                  <c:v>289.0</c:v>
                </c:pt>
                <c:pt idx="172" formatCode="General">
                  <c:v>271.0</c:v>
                </c:pt>
                <c:pt idx="173">
                  <c:v>266.0</c:v>
                </c:pt>
                <c:pt idx="174">
                  <c:v>266.0</c:v>
                </c:pt>
                <c:pt idx="175">
                  <c:v>177.0</c:v>
                </c:pt>
                <c:pt idx="176">
                  <c:v>358.0</c:v>
                </c:pt>
                <c:pt idx="177" formatCode="General">
                  <c:v>358.0</c:v>
                </c:pt>
                <c:pt idx="178">
                  <c:v>359.0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119000"/>
        <c:axId val="-2110115976"/>
      </c:scatterChart>
      <c:valAx>
        <c:axId val="-2110119000"/>
        <c:scaling>
          <c:orientation val="minMax"/>
          <c:max val="1.0"/>
          <c:min val="0.6"/>
        </c:scaling>
        <c:delete val="0"/>
        <c:axPos val="b"/>
        <c:numFmt formatCode="General" sourceLinked="1"/>
        <c:majorTickMark val="out"/>
        <c:minorTickMark val="none"/>
        <c:tickLblPos val="nextTo"/>
        <c:crossAx val="-2110115976"/>
        <c:crosses val="autoZero"/>
        <c:crossBetween val="midCat"/>
      </c:valAx>
      <c:valAx>
        <c:axId val="-2110115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0119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CO!$X$47:$X$63</c:f>
              <c:numCache>
                <c:formatCode>General</c:formatCode>
                <c:ptCount val="17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0.965</c:v>
                </c:pt>
                <c:pt idx="4">
                  <c:v>0.961</c:v>
                </c:pt>
                <c:pt idx="5">
                  <c:v>0.96</c:v>
                </c:pt>
                <c:pt idx="6">
                  <c:v>0.957</c:v>
                </c:pt>
                <c:pt idx="7">
                  <c:v>0.936</c:v>
                </c:pt>
                <c:pt idx="8">
                  <c:v>0.936</c:v>
                </c:pt>
                <c:pt idx="9">
                  <c:v>0.934</c:v>
                </c:pt>
                <c:pt idx="10">
                  <c:v>0.933</c:v>
                </c:pt>
                <c:pt idx="11">
                  <c:v>0.933</c:v>
                </c:pt>
                <c:pt idx="12">
                  <c:v>0.927</c:v>
                </c:pt>
                <c:pt idx="13">
                  <c:v>0.914</c:v>
                </c:pt>
                <c:pt idx="14">
                  <c:v>0.912</c:v>
                </c:pt>
                <c:pt idx="15">
                  <c:v>0.9</c:v>
                </c:pt>
                <c:pt idx="16">
                  <c:v>0.891</c:v>
                </c:pt>
              </c:numCache>
            </c:numRef>
          </c:xVal>
          <c:yVal>
            <c:numRef>
              <c:f>CO!$Y$47:$Y$63</c:f>
              <c:numCache>
                <c:formatCode>0.00</c:formatCode>
                <c:ptCount val="17"/>
                <c:pt idx="0">
                  <c:v>38.1</c:v>
                </c:pt>
                <c:pt idx="1">
                  <c:v>38.9</c:v>
                </c:pt>
                <c:pt idx="2">
                  <c:v>34.70285246</c:v>
                </c:pt>
                <c:pt idx="3">
                  <c:v>43.0</c:v>
                </c:pt>
                <c:pt idx="4">
                  <c:v>45.5</c:v>
                </c:pt>
                <c:pt idx="5">
                  <c:v>49.4</c:v>
                </c:pt>
                <c:pt idx="6">
                  <c:v>47.0</c:v>
                </c:pt>
                <c:pt idx="7">
                  <c:v>73.45245117</c:v>
                </c:pt>
                <c:pt idx="8">
                  <c:v>73.5</c:v>
                </c:pt>
                <c:pt idx="9">
                  <c:v>84.01</c:v>
                </c:pt>
                <c:pt idx="10">
                  <c:v>78.0</c:v>
                </c:pt>
                <c:pt idx="11">
                  <c:v>78.0</c:v>
                </c:pt>
                <c:pt idx="12">
                  <c:v>88.76</c:v>
                </c:pt>
                <c:pt idx="13">
                  <c:v>98.31535507</c:v>
                </c:pt>
                <c:pt idx="14">
                  <c:v>99.51699847</c:v>
                </c:pt>
                <c:pt idx="15">
                  <c:v>107.0</c:v>
                </c:pt>
                <c:pt idx="16">
                  <c:v>119.0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091144"/>
        <c:axId val="-2110088040"/>
      </c:scatterChart>
      <c:valAx>
        <c:axId val="-211009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0088040"/>
        <c:crosses val="autoZero"/>
        <c:crossBetween val="midCat"/>
      </c:valAx>
      <c:valAx>
        <c:axId val="-2110088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0091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CO!$X$82:$X$116</c:f>
              <c:numCache>
                <c:formatCode>General</c:formatCode>
                <c:ptCount val="35"/>
                <c:pt idx="0">
                  <c:v>0.99</c:v>
                </c:pt>
                <c:pt idx="1">
                  <c:v>0.979</c:v>
                </c:pt>
                <c:pt idx="2">
                  <c:v>0.97</c:v>
                </c:pt>
                <c:pt idx="3">
                  <c:v>0.957</c:v>
                </c:pt>
                <c:pt idx="4">
                  <c:v>0.957</c:v>
                </c:pt>
                <c:pt idx="5">
                  <c:v>0.952</c:v>
                </c:pt>
                <c:pt idx="6">
                  <c:v>0.952</c:v>
                </c:pt>
                <c:pt idx="7">
                  <c:v>0.951</c:v>
                </c:pt>
                <c:pt idx="8">
                  <c:v>0.945</c:v>
                </c:pt>
                <c:pt idx="9">
                  <c:v>0.944</c:v>
                </c:pt>
                <c:pt idx="10">
                  <c:v>0.943</c:v>
                </c:pt>
                <c:pt idx="11">
                  <c:v>0.942</c:v>
                </c:pt>
                <c:pt idx="12">
                  <c:v>0.942</c:v>
                </c:pt>
                <c:pt idx="13">
                  <c:v>0.941</c:v>
                </c:pt>
                <c:pt idx="14">
                  <c:v>0.94</c:v>
                </c:pt>
                <c:pt idx="15">
                  <c:v>0.938</c:v>
                </c:pt>
                <c:pt idx="16">
                  <c:v>0.936</c:v>
                </c:pt>
                <c:pt idx="17">
                  <c:v>0.936</c:v>
                </c:pt>
                <c:pt idx="18">
                  <c:v>0.935</c:v>
                </c:pt>
                <c:pt idx="19">
                  <c:v>0.934</c:v>
                </c:pt>
                <c:pt idx="20">
                  <c:v>0.933</c:v>
                </c:pt>
                <c:pt idx="21">
                  <c:v>0.932</c:v>
                </c:pt>
                <c:pt idx="22">
                  <c:v>0.932</c:v>
                </c:pt>
                <c:pt idx="23">
                  <c:v>0.931</c:v>
                </c:pt>
                <c:pt idx="24">
                  <c:v>0.93</c:v>
                </c:pt>
                <c:pt idx="25">
                  <c:v>0.928</c:v>
                </c:pt>
                <c:pt idx="26">
                  <c:v>0.927</c:v>
                </c:pt>
                <c:pt idx="27">
                  <c:v>0.925</c:v>
                </c:pt>
                <c:pt idx="28">
                  <c:v>0.919</c:v>
                </c:pt>
                <c:pt idx="29">
                  <c:v>0.918</c:v>
                </c:pt>
                <c:pt idx="30">
                  <c:v>0.915</c:v>
                </c:pt>
                <c:pt idx="31">
                  <c:v>0.914</c:v>
                </c:pt>
                <c:pt idx="32">
                  <c:v>0.904</c:v>
                </c:pt>
                <c:pt idx="33">
                  <c:v>0.904</c:v>
                </c:pt>
                <c:pt idx="34">
                  <c:v>0.901</c:v>
                </c:pt>
              </c:numCache>
            </c:numRef>
          </c:xVal>
          <c:yVal>
            <c:numRef>
              <c:f>CO!$Y$82:$Y$116</c:f>
              <c:numCache>
                <c:formatCode>0.00</c:formatCode>
                <c:ptCount val="35"/>
                <c:pt idx="0">
                  <c:v>17.8</c:v>
                </c:pt>
                <c:pt idx="1">
                  <c:v>24.0</c:v>
                </c:pt>
                <c:pt idx="2">
                  <c:v>52.9</c:v>
                </c:pt>
                <c:pt idx="3">
                  <c:v>49.0</c:v>
                </c:pt>
                <c:pt idx="4">
                  <c:v>50.0</c:v>
                </c:pt>
                <c:pt idx="5">
                  <c:v>55.0</c:v>
                </c:pt>
                <c:pt idx="6">
                  <c:v>55.26041677</c:v>
                </c:pt>
                <c:pt idx="7">
                  <c:v>56.0</c:v>
                </c:pt>
                <c:pt idx="8">
                  <c:v>63.0</c:v>
                </c:pt>
                <c:pt idx="9">
                  <c:v>60.8</c:v>
                </c:pt>
                <c:pt idx="10">
                  <c:v>65.0</c:v>
                </c:pt>
                <c:pt idx="11">
                  <c:v>66.45182531</c:v>
                </c:pt>
                <c:pt idx="12">
                  <c:v>65.0</c:v>
                </c:pt>
                <c:pt idx="13">
                  <c:v>66.92840694</c:v>
                </c:pt>
                <c:pt idx="14">
                  <c:v>68.51843733</c:v>
                </c:pt>
                <c:pt idx="15">
                  <c:v>72.0</c:v>
                </c:pt>
                <c:pt idx="16">
                  <c:v>73.07014192</c:v>
                </c:pt>
                <c:pt idx="17">
                  <c:v>73.34036409</c:v>
                </c:pt>
                <c:pt idx="18">
                  <c:v>74.0</c:v>
                </c:pt>
                <c:pt idx="19">
                  <c:v>75.17325683999999</c:v>
                </c:pt>
                <c:pt idx="20">
                  <c:v>78.0</c:v>
                </c:pt>
                <c:pt idx="21">
                  <c:v>77.20952914</c:v>
                </c:pt>
                <c:pt idx="22">
                  <c:v>78.0</c:v>
                </c:pt>
                <c:pt idx="23">
                  <c:v>80.0</c:v>
                </c:pt>
                <c:pt idx="24">
                  <c:v>78.0</c:v>
                </c:pt>
                <c:pt idx="25">
                  <c:v>81.50851265</c:v>
                </c:pt>
                <c:pt idx="26">
                  <c:v>84.0</c:v>
                </c:pt>
                <c:pt idx="27">
                  <c:v>87.8</c:v>
                </c:pt>
                <c:pt idx="28">
                  <c:v>92.0</c:v>
                </c:pt>
                <c:pt idx="29">
                  <c:v>93.97828028</c:v>
                </c:pt>
                <c:pt idx="30">
                  <c:v>96.396202</c:v>
                </c:pt>
                <c:pt idx="31">
                  <c:v>100.0</c:v>
                </c:pt>
                <c:pt idx="32">
                  <c:v>109.3903762</c:v>
                </c:pt>
                <c:pt idx="33">
                  <c:v>109.0</c:v>
                </c:pt>
                <c:pt idx="34">
                  <c:v>116.0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xVal>
            <c:numRef>
              <c:f>CO!$X$118:$X$127</c:f>
              <c:numCache>
                <c:formatCode>General</c:formatCode>
                <c:ptCount val="10"/>
                <c:pt idx="0">
                  <c:v>0.896</c:v>
                </c:pt>
                <c:pt idx="1">
                  <c:v>0.894</c:v>
                </c:pt>
                <c:pt idx="2">
                  <c:v>0.864</c:v>
                </c:pt>
                <c:pt idx="3">
                  <c:v>0.858</c:v>
                </c:pt>
                <c:pt idx="4">
                  <c:v>0.849</c:v>
                </c:pt>
                <c:pt idx="5">
                  <c:v>0.826</c:v>
                </c:pt>
                <c:pt idx="6">
                  <c:v>0.82</c:v>
                </c:pt>
                <c:pt idx="7">
                  <c:v>0.794</c:v>
                </c:pt>
                <c:pt idx="8">
                  <c:v>0.789</c:v>
                </c:pt>
                <c:pt idx="9">
                  <c:v>0.76</c:v>
                </c:pt>
              </c:numCache>
            </c:numRef>
          </c:xVal>
          <c:yVal>
            <c:numRef>
              <c:f>CO!$Y$118:$Y$127</c:f>
              <c:numCache>
                <c:formatCode>0.00</c:formatCode>
                <c:ptCount val="10"/>
                <c:pt idx="0">
                  <c:v>113.0</c:v>
                </c:pt>
                <c:pt idx="1">
                  <c:v>128.55</c:v>
                </c:pt>
                <c:pt idx="2">
                  <c:v>156.0</c:v>
                </c:pt>
                <c:pt idx="3">
                  <c:v>158.0</c:v>
                </c:pt>
                <c:pt idx="4">
                  <c:v>175.0</c:v>
                </c:pt>
                <c:pt idx="5">
                  <c:v>140.0</c:v>
                </c:pt>
                <c:pt idx="6">
                  <c:v>230.0</c:v>
                </c:pt>
                <c:pt idx="7">
                  <c:v>238.0</c:v>
                </c:pt>
                <c:pt idx="8">
                  <c:v>222.0</c:v>
                </c:pt>
                <c:pt idx="9">
                  <c:v>302.0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059288"/>
        <c:axId val="-2110056232"/>
      </c:scatterChart>
      <c:valAx>
        <c:axId val="-2110059288"/>
        <c:scaling>
          <c:orientation val="minMax"/>
          <c:max val="1.0"/>
          <c:min val="0.7"/>
        </c:scaling>
        <c:delete val="0"/>
        <c:axPos val="b"/>
        <c:numFmt formatCode="General" sourceLinked="1"/>
        <c:majorTickMark val="out"/>
        <c:minorTickMark val="none"/>
        <c:tickLblPos val="nextTo"/>
        <c:crossAx val="-2110056232"/>
        <c:crosses val="autoZero"/>
        <c:crossBetween val="midCat"/>
      </c:valAx>
      <c:valAx>
        <c:axId val="-2110056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0059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'W conifer CO detail NOT USED'!$X$50:$X$107</c:f>
              <c:numCache>
                <c:formatCode>General</c:formatCode>
                <c:ptCount val="58"/>
                <c:pt idx="0">
                  <c:v>0.93</c:v>
                </c:pt>
                <c:pt idx="1">
                  <c:v>0.923</c:v>
                </c:pt>
                <c:pt idx="2">
                  <c:v>0.92</c:v>
                </c:pt>
                <c:pt idx="3">
                  <c:v>0.918</c:v>
                </c:pt>
                <c:pt idx="4">
                  <c:v>0.916</c:v>
                </c:pt>
                <c:pt idx="5">
                  <c:v>0.915</c:v>
                </c:pt>
                <c:pt idx="6">
                  <c:v>0.904</c:v>
                </c:pt>
                <c:pt idx="7">
                  <c:v>0.903</c:v>
                </c:pt>
                <c:pt idx="8">
                  <c:v>0.903</c:v>
                </c:pt>
                <c:pt idx="9">
                  <c:v>0.902</c:v>
                </c:pt>
                <c:pt idx="10">
                  <c:v>0.902</c:v>
                </c:pt>
                <c:pt idx="11">
                  <c:v>0.901</c:v>
                </c:pt>
                <c:pt idx="12">
                  <c:v>0.901</c:v>
                </c:pt>
                <c:pt idx="13">
                  <c:v>0.901</c:v>
                </c:pt>
                <c:pt idx="14">
                  <c:v>0.9</c:v>
                </c:pt>
                <c:pt idx="15">
                  <c:v>0.9</c:v>
                </c:pt>
                <c:pt idx="16">
                  <c:v>0.899</c:v>
                </c:pt>
                <c:pt idx="17">
                  <c:v>0.898</c:v>
                </c:pt>
                <c:pt idx="18">
                  <c:v>0.897</c:v>
                </c:pt>
                <c:pt idx="19">
                  <c:v>0.895</c:v>
                </c:pt>
                <c:pt idx="20">
                  <c:v>0.895</c:v>
                </c:pt>
                <c:pt idx="21">
                  <c:v>0.894</c:v>
                </c:pt>
                <c:pt idx="22">
                  <c:v>0.892</c:v>
                </c:pt>
                <c:pt idx="23">
                  <c:v>0.892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0.889</c:v>
                </c:pt>
                <c:pt idx="29">
                  <c:v>0.889</c:v>
                </c:pt>
                <c:pt idx="30">
                  <c:v>0.886</c:v>
                </c:pt>
                <c:pt idx="31">
                  <c:v>0.886</c:v>
                </c:pt>
                <c:pt idx="32">
                  <c:v>0.885</c:v>
                </c:pt>
                <c:pt idx="33">
                  <c:v>0.885</c:v>
                </c:pt>
                <c:pt idx="34">
                  <c:v>0.884</c:v>
                </c:pt>
                <c:pt idx="35">
                  <c:v>0.884</c:v>
                </c:pt>
                <c:pt idx="36">
                  <c:v>0.879</c:v>
                </c:pt>
                <c:pt idx="37">
                  <c:v>0.878</c:v>
                </c:pt>
                <c:pt idx="38">
                  <c:v>0.876</c:v>
                </c:pt>
                <c:pt idx="39">
                  <c:v>0.876</c:v>
                </c:pt>
                <c:pt idx="40">
                  <c:v>0.876</c:v>
                </c:pt>
                <c:pt idx="41">
                  <c:v>0.876</c:v>
                </c:pt>
                <c:pt idx="42">
                  <c:v>0.875</c:v>
                </c:pt>
                <c:pt idx="43">
                  <c:v>0.875</c:v>
                </c:pt>
                <c:pt idx="44">
                  <c:v>0.875</c:v>
                </c:pt>
                <c:pt idx="45">
                  <c:v>0.873</c:v>
                </c:pt>
                <c:pt idx="46">
                  <c:v>0.871</c:v>
                </c:pt>
                <c:pt idx="47">
                  <c:v>0.871</c:v>
                </c:pt>
                <c:pt idx="48">
                  <c:v>0.869</c:v>
                </c:pt>
                <c:pt idx="49">
                  <c:v>0.869</c:v>
                </c:pt>
                <c:pt idx="50">
                  <c:v>0.866</c:v>
                </c:pt>
                <c:pt idx="51">
                  <c:v>0.866</c:v>
                </c:pt>
                <c:pt idx="52">
                  <c:v>0.865</c:v>
                </c:pt>
                <c:pt idx="53">
                  <c:v>0.864</c:v>
                </c:pt>
                <c:pt idx="54">
                  <c:v>0.863</c:v>
                </c:pt>
                <c:pt idx="55">
                  <c:v>0.863</c:v>
                </c:pt>
                <c:pt idx="56">
                  <c:v>0.849</c:v>
                </c:pt>
                <c:pt idx="57">
                  <c:v>0.845</c:v>
                </c:pt>
              </c:numCache>
            </c:numRef>
          </c:xVal>
          <c:yVal>
            <c:numRef>
              <c:f>'W conifer CO detail NOT USED'!$Y$50:$Y$107</c:f>
              <c:numCache>
                <c:formatCode>0.00</c:formatCode>
                <c:ptCount val="58"/>
                <c:pt idx="0">
                  <c:v>82.9</c:v>
                </c:pt>
                <c:pt idx="1">
                  <c:v>89.3</c:v>
                </c:pt>
                <c:pt idx="2">
                  <c:v>84.6</c:v>
                </c:pt>
                <c:pt idx="3">
                  <c:v>94.9</c:v>
                </c:pt>
                <c:pt idx="4">
                  <c:v>97.4</c:v>
                </c:pt>
                <c:pt idx="5">
                  <c:v>92.0</c:v>
                </c:pt>
                <c:pt idx="6">
                  <c:v>110.9</c:v>
                </c:pt>
                <c:pt idx="7">
                  <c:v>112.8</c:v>
                </c:pt>
                <c:pt idx="8">
                  <c:v>112.6</c:v>
                </c:pt>
                <c:pt idx="9">
                  <c:v>113.7</c:v>
                </c:pt>
                <c:pt idx="10">
                  <c:v>113.6</c:v>
                </c:pt>
                <c:pt idx="11">
                  <c:v>114.9</c:v>
                </c:pt>
                <c:pt idx="12">
                  <c:v>114.5</c:v>
                </c:pt>
                <c:pt idx="13">
                  <c:v>114.4</c:v>
                </c:pt>
                <c:pt idx="14">
                  <c:v>113.0</c:v>
                </c:pt>
                <c:pt idx="15">
                  <c:v>115.3</c:v>
                </c:pt>
                <c:pt idx="16">
                  <c:v>117.2</c:v>
                </c:pt>
                <c:pt idx="17">
                  <c:v>117.4</c:v>
                </c:pt>
                <c:pt idx="18">
                  <c:v>119.2</c:v>
                </c:pt>
                <c:pt idx="19">
                  <c:v>121.7</c:v>
                </c:pt>
                <c:pt idx="20">
                  <c:v>121.4</c:v>
                </c:pt>
                <c:pt idx="21">
                  <c:v>122.9</c:v>
                </c:pt>
                <c:pt idx="22">
                  <c:v>125.1</c:v>
                </c:pt>
                <c:pt idx="23">
                  <c:v>124.9</c:v>
                </c:pt>
                <c:pt idx="24">
                  <c:v>128.4</c:v>
                </c:pt>
                <c:pt idx="25">
                  <c:v>127.4</c:v>
                </c:pt>
                <c:pt idx="26">
                  <c:v>126.9</c:v>
                </c:pt>
                <c:pt idx="27">
                  <c:v>126.8</c:v>
                </c:pt>
                <c:pt idx="28">
                  <c:v>128.4</c:v>
                </c:pt>
                <c:pt idx="29">
                  <c:v>127.5</c:v>
                </c:pt>
                <c:pt idx="30">
                  <c:v>131.8</c:v>
                </c:pt>
                <c:pt idx="31">
                  <c:v>131.3</c:v>
                </c:pt>
                <c:pt idx="32">
                  <c:v>132.9</c:v>
                </c:pt>
                <c:pt idx="33">
                  <c:v>132.5</c:v>
                </c:pt>
                <c:pt idx="34">
                  <c:v>134.0</c:v>
                </c:pt>
                <c:pt idx="35">
                  <c:v>133.5</c:v>
                </c:pt>
                <c:pt idx="36">
                  <c:v>139.5</c:v>
                </c:pt>
                <c:pt idx="37">
                  <c:v>140.7</c:v>
                </c:pt>
                <c:pt idx="38">
                  <c:v>143.2</c:v>
                </c:pt>
                <c:pt idx="39">
                  <c:v>143.1</c:v>
                </c:pt>
                <c:pt idx="40">
                  <c:v>143.1</c:v>
                </c:pt>
                <c:pt idx="41">
                  <c:v>142.7</c:v>
                </c:pt>
                <c:pt idx="42">
                  <c:v>144.8</c:v>
                </c:pt>
                <c:pt idx="43">
                  <c:v>144.0</c:v>
                </c:pt>
                <c:pt idx="44">
                  <c:v>143.8</c:v>
                </c:pt>
                <c:pt idx="45">
                  <c:v>147.1</c:v>
                </c:pt>
                <c:pt idx="46">
                  <c:v>149.0</c:v>
                </c:pt>
                <c:pt idx="47">
                  <c:v>149.0</c:v>
                </c:pt>
                <c:pt idx="48">
                  <c:v>150.9</c:v>
                </c:pt>
                <c:pt idx="49">
                  <c:v>150.8</c:v>
                </c:pt>
                <c:pt idx="50">
                  <c:v>154.6</c:v>
                </c:pt>
                <c:pt idx="51">
                  <c:v>154.2</c:v>
                </c:pt>
                <c:pt idx="52">
                  <c:v>155.1</c:v>
                </c:pt>
                <c:pt idx="53">
                  <c:v>157.0</c:v>
                </c:pt>
                <c:pt idx="54">
                  <c:v>158.4</c:v>
                </c:pt>
                <c:pt idx="55">
                  <c:v>158.3</c:v>
                </c:pt>
                <c:pt idx="56">
                  <c:v>173.0</c:v>
                </c:pt>
                <c:pt idx="57">
                  <c:v>178.7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026344"/>
        <c:axId val="-2119023320"/>
      </c:scatterChart>
      <c:valAx>
        <c:axId val="-2119026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9023320"/>
        <c:crosses val="autoZero"/>
        <c:crossBetween val="midCat"/>
      </c:valAx>
      <c:valAx>
        <c:axId val="-2119023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90263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'CH4'!$X$62:$X$103</c:f>
              <c:numCache>
                <c:formatCode>General</c:formatCode>
                <c:ptCount val="42"/>
                <c:pt idx="0">
                  <c:v>0.99</c:v>
                </c:pt>
                <c:pt idx="1">
                  <c:v>0.97</c:v>
                </c:pt>
                <c:pt idx="2">
                  <c:v>0.957</c:v>
                </c:pt>
                <c:pt idx="3">
                  <c:v>0.957</c:v>
                </c:pt>
                <c:pt idx="4">
                  <c:v>0.952</c:v>
                </c:pt>
                <c:pt idx="5">
                  <c:v>0.952</c:v>
                </c:pt>
                <c:pt idx="6">
                  <c:v>0.951</c:v>
                </c:pt>
                <c:pt idx="7">
                  <c:v>0.945</c:v>
                </c:pt>
                <c:pt idx="8">
                  <c:v>0.944</c:v>
                </c:pt>
                <c:pt idx="9">
                  <c:v>0.943</c:v>
                </c:pt>
                <c:pt idx="10">
                  <c:v>0.942</c:v>
                </c:pt>
                <c:pt idx="11">
                  <c:v>0.942</c:v>
                </c:pt>
                <c:pt idx="12">
                  <c:v>0.941</c:v>
                </c:pt>
                <c:pt idx="13">
                  <c:v>0.94</c:v>
                </c:pt>
                <c:pt idx="14">
                  <c:v>0.938</c:v>
                </c:pt>
                <c:pt idx="15">
                  <c:v>0.936</c:v>
                </c:pt>
                <c:pt idx="16">
                  <c:v>0.936</c:v>
                </c:pt>
                <c:pt idx="17">
                  <c:v>0.935</c:v>
                </c:pt>
                <c:pt idx="18">
                  <c:v>0.934</c:v>
                </c:pt>
                <c:pt idx="19">
                  <c:v>0.933</c:v>
                </c:pt>
                <c:pt idx="20">
                  <c:v>0.932</c:v>
                </c:pt>
                <c:pt idx="21">
                  <c:v>0.932</c:v>
                </c:pt>
                <c:pt idx="22">
                  <c:v>0.931</c:v>
                </c:pt>
                <c:pt idx="23">
                  <c:v>0.93</c:v>
                </c:pt>
                <c:pt idx="24">
                  <c:v>0.928</c:v>
                </c:pt>
                <c:pt idx="25">
                  <c:v>0.927</c:v>
                </c:pt>
                <c:pt idx="26">
                  <c:v>0.925</c:v>
                </c:pt>
                <c:pt idx="27">
                  <c:v>0.919</c:v>
                </c:pt>
                <c:pt idx="28">
                  <c:v>0.918</c:v>
                </c:pt>
                <c:pt idx="29">
                  <c:v>0.915</c:v>
                </c:pt>
                <c:pt idx="30">
                  <c:v>0.914</c:v>
                </c:pt>
                <c:pt idx="31">
                  <c:v>0.904</c:v>
                </c:pt>
                <c:pt idx="32">
                  <c:v>0.904</c:v>
                </c:pt>
                <c:pt idx="33">
                  <c:v>0.894</c:v>
                </c:pt>
                <c:pt idx="34">
                  <c:v>0.864</c:v>
                </c:pt>
                <c:pt idx="35">
                  <c:v>0.858</c:v>
                </c:pt>
                <c:pt idx="36">
                  <c:v>0.849</c:v>
                </c:pt>
                <c:pt idx="37">
                  <c:v>0.826</c:v>
                </c:pt>
                <c:pt idx="38">
                  <c:v>0.82</c:v>
                </c:pt>
                <c:pt idx="39">
                  <c:v>0.794</c:v>
                </c:pt>
                <c:pt idx="40">
                  <c:v>0.789</c:v>
                </c:pt>
                <c:pt idx="41">
                  <c:v>0.76</c:v>
                </c:pt>
              </c:numCache>
            </c:numRef>
          </c:xVal>
          <c:yVal>
            <c:numRef>
              <c:f>'CH4'!$Y$62:$Y$103</c:f>
              <c:numCache>
                <c:formatCode>General</c:formatCode>
                <c:ptCount val="42"/>
                <c:pt idx="0">
                  <c:v>2.84</c:v>
                </c:pt>
                <c:pt idx="1">
                  <c:v>4.3</c:v>
                </c:pt>
                <c:pt idx="2">
                  <c:v>2.02</c:v>
                </c:pt>
                <c:pt idx="3" formatCode="0.00">
                  <c:v>1.2</c:v>
                </c:pt>
                <c:pt idx="4" formatCode="0.00">
                  <c:v>2.69</c:v>
                </c:pt>
                <c:pt idx="5" formatCode="0.00">
                  <c:v>1.411811574</c:v>
                </c:pt>
                <c:pt idx="6" formatCode="0.00">
                  <c:v>1.33</c:v>
                </c:pt>
                <c:pt idx="7" formatCode="0.00">
                  <c:v>1.69</c:v>
                </c:pt>
                <c:pt idx="8" formatCode="0.0">
                  <c:v>2.1</c:v>
                </c:pt>
                <c:pt idx="9" formatCode="0.00">
                  <c:v>1.6</c:v>
                </c:pt>
                <c:pt idx="10" formatCode="0.00">
                  <c:v>2.16</c:v>
                </c:pt>
                <c:pt idx="11" formatCode="0.00">
                  <c:v>1.777897797</c:v>
                </c:pt>
                <c:pt idx="12" formatCode="0.00">
                  <c:v>1.59107423</c:v>
                </c:pt>
                <c:pt idx="13" formatCode="0.00">
                  <c:v>1.260797942</c:v>
                </c:pt>
                <c:pt idx="14">
                  <c:v>2.22</c:v>
                </c:pt>
                <c:pt idx="15" formatCode="0.00">
                  <c:v>1.990031758</c:v>
                </c:pt>
                <c:pt idx="16" formatCode="0.00">
                  <c:v>1.639339954</c:v>
                </c:pt>
                <c:pt idx="17">
                  <c:v>2.01</c:v>
                </c:pt>
                <c:pt idx="18" formatCode="0.00">
                  <c:v>1.450457949</c:v>
                </c:pt>
                <c:pt idx="19">
                  <c:v>1.88</c:v>
                </c:pt>
                <c:pt idx="20" formatCode="0.00">
                  <c:v>2.039437484</c:v>
                </c:pt>
                <c:pt idx="21">
                  <c:v>1.74</c:v>
                </c:pt>
                <c:pt idx="22" formatCode="0.00">
                  <c:v>2.07</c:v>
                </c:pt>
                <c:pt idx="23" formatCode="0.0">
                  <c:v>2.7</c:v>
                </c:pt>
                <c:pt idx="24" formatCode="0.00">
                  <c:v>2.313015583</c:v>
                </c:pt>
                <c:pt idx="25" formatCode="0.00">
                  <c:v>5.18</c:v>
                </c:pt>
                <c:pt idx="26" formatCode="0.00">
                  <c:v>3.73</c:v>
                </c:pt>
                <c:pt idx="27">
                  <c:v>2.08</c:v>
                </c:pt>
                <c:pt idx="28" formatCode="0.00">
                  <c:v>3.390973011</c:v>
                </c:pt>
                <c:pt idx="29" formatCode="0.00">
                  <c:v>2.888929419</c:v>
                </c:pt>
                <c:pt idx="30" formatCode="0.00">
                  <c:v>1.7</c:v>
                </c:pt>
                <c:pt idx="31" formatCode="0.00">
                  <c:v>2.999784364</c:v>
                </c:pt>
                <c:pt idx="32">
                  <c:v>6.66</c:v>
                </c:pt>
                <c:pt idx="33" formatCode="0.000">
                  <c:v>4.248</c:v>
                </c:pt>
                <c:pt idx="34" formatCode="0.00">
                  <c:v>2.24</c:v>
                </c:pt>
                <c:pt idx="35">
                  <c:v>11.5</c:v>
                </c:pt>
                <c:pt idx="36" formatCode="0.00">
                  <c:v>2.89</c:v>
                </c:pt>
                <c:pt idx="37">
                  <c:v>5.2</c:v>
                </c:pt>
                <c:pt idx="38">
                  <c:v>24.1</c:v>
                </c:pt>
                <c:pt idx="39" formatCode="0.00">
                  <c:v>2.2</c:v>
                </c:pt>
                <c:pt idx="40">
                  <c:v>10.34</c:v>
                </c:pt>
                <c:pt idx="41">
                  <c:v>15.8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8921736"/>
        <c:axId val="-2118918712"/>
      </c:scatterChart>
      <c:valAx>
        <c:axId val="-2118921736"/>
        <c:scaling>
          <c:orientation val="minMax"/>
          <c:max val="1.0"/>
          <c:min val="0.7"/>
        </c:scaling>
        <c:delete val="0"/>
        <c:axPos val="b"/>
        <c:numFmt formatCode="General" sourceLinked="1"/>
        <c:majorTickMark val="out"/>
        <c:minorTickMark val="none"/>
        <c:tickLblPos val="nextTo"/>
        <c:crossAx val="-2118918712"/>
        <c:crosses val="autoZero"/>
        <c:crossBetween val="midCat"/>
      </c:valAx>
      <c:valAx>
        <c:axId val="-2118918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8921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Flaming (slash)</c:v>
          </c:tx>
          <c:spPr>
            <a:ln w="47625">
              <a:noFill/>
            </a:ln>
          </c:spPr>
          <c:xVal>
            <c:numRef>
              <c:f>'CH4'!$X$221:$X$224</c:f>
              <c:numCache>
                <c:formatCode>General</c:formatCode>
                <c:ptCount val="4"/>
                <c:pt idx="0">
                  <c:v>0.94</c:v>
                </c:pt>
                <c:pt idx="1">
                  <c:v>0.91</c:v>
                </c:pt>
                <c:pt idx="2">
                  <c:v>0.9</c:v>
                </c:pt>
                <c:pt idx="3">
                  <c:v>0.9</c:v>
                </c:pt>
              </c:numCache>
            </c:numRef>
          </c:xVal>
          <c:yVal>
            <c:numRef>
              <c:f>'CH4'!$Y$221:$Y$224</c:f>
              <c:numCache>
                <c:formatCode>General</c:formatCode>
                <c:ptCount val="4"/>
                <c:pt idx="0">
                  <c:v>2.2</c:v>
                </c:pt>
                <c:pt idx="1">
                  <c:v>2.6</c:v>
                </c:pt>
                <c:pt idx="2">
                  <c:v>3.4</c:v>
                </c:pt>
                <c:pt idx="3">
                  <c:v>2.8</c:v>
                </c:pt>
              </c:numCache>
            </c:numRef>
          </c:yVal>
          <c:smooth val="0"/>
        </c:ser>
        <c:ser>
          <c:idx val="1"/>
          <c:order val="1"/>
          <c:tx>
            <c:v>Smoldering (slash)</c:v>
          </c:tx>
          <c:spPr>
            <a:ln w="47625">
              <a:noFill/>
            </a:ln>
          </c:spPr>
          <c:xVal>
            <c:numRef>
              <c:f>'CH4'!$X$234:$X$255</c:f>
              <c:numCache>
                <c:formatCode>General</c:formatCode>
                <c:ptCount val="22"/>
                <c:pt idx="0">
                  <c:v>0.89</c:v>
                </c:pt>
                <c:pt idx="1">
                  <c:v>0.89</c:v>
                </c:pt>
                <c:pt idx="2">
                  <c:v>0.88</c:v>
                </c:pt>
                <c:pt idx="3">
                  <c:v>0.85</c:v>
                </c:pt>
                <c:pt idx="4">
                  <c:v>0.84</c:v>
                </c:pt>
                <c:pt idx="5">
                  <c:v>0.84</c:v>
                </c:pt>
                <c:pt idx="6">
                  <c:v>0.8</c:v>
                </c:pt>
                <c:pt idx="7">
                  <c:v>0.8</c:v>
                </c:pt>
                <c:pt idx="8">
                  <c:v>0.79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0.77</c:v>
                </c:pt>
                <c:pt idx="13">
                  <c:v>0.77</c:v>
                </c:pt>
                <c:pt idx="14">
                  <c:v>0.74</c:v>
                </c:pt>
                <c:pt idx="15">
                  <c:v>0.74</c:v>
                </c:pt>
                <c:pt idx="16">
                  <c:v>0.74</c:v>
                </c:pt>
                <c:pt idx="17">
                  <c:v>0.71</c:v>
                </c:pt>
                <c:pt idx="18">
                  <c:v>0.69</c:v>
                </c:pt>
                <c:pt idx="19">
                  <c:v>0.66</c:v>
                </c:pt>
                <c:pt idx="20">
                  <c:v>0.65</c:v>
                </c:pt>
                <c:pt idx="21">
                  <c:v>0.63</c:v>
                </c:pt>
              </c:numCache>
            </c:numRef>
          </c:xVal>
          <c:yVal>
            <c:numRef>
              <c:f>'CH4'!$Y$234:$Y$255</c:f>
              <c:numCache>
                <c:formatCode>General</c:formatCode>
                <c:ptCount val="22"/>
                <c:pt idx="0">
                  <c:v>1.8</c:v>
                </c:pt>
                <c:pt idx="1">
                  <c:v>2.2</c:v>
                </c:pt>
                <c:pt idx="2">
                  <c:v>4.2</c:v>
                </c:pt>
                <c:pt idx="3">
                  <c:v>5.9</c:v>
                </c:pt>
                <c:pt idx="4">
                  <c:v>6.7</c:v>
                </c:pt>
                <c:pt idx="5">
                  <c:v>5.0</c:v>
                </c:pt>
                <c:pt idx="6">
                  <c:v>6.8</c:v>
                </c:pt>
                <c:pt idx="7">
                  <c:v>19.4</c:v>
                </c:pt>
                <c:pt idx="8">
                  <c:v>7.1</c:v>
                </c:pt>
                <c:pt idx="9">
                  <c:v>8.4</c:v>
                </c:pt>
                <c:pt idx="10">
                  <c:v>9.4</c:v>
                </c:pt>
                <c:pt idx="11">
                  <c:v>9.5</c:v>
                </c:pt>
                <c:pt idx="12">
                  <c:v>9.7</c:v>
                </c:pt>
                <c:pt idx="13">
                  <c:v>7.8</c:v>
                </c:pt>
                <c:pt idx="14">
                  <c:v>10.6</c:v>
                </c:pt>
                <c:pt idx="15">
                  <c:v>7.6</c:v>
                </c:pt>
                <c:pt idx="16">
                  <c:v>8.9</c:v>
                </c:pt>
                <c:pt idx="17">
                  <c:v>13.4</c:v>
                </c:pt>
                <c:pt idx="18">
                  <c:v>6.2</c:v>
                </c:pt>
                <c:pt idx="19">
                  <c:v>9.5</c:v>
                </c:pt>
                <c:pt idx="20">
                  <c:v>5.7</c:v>
                </c:pt>
                <c:pt idx="21">
                  <c:v>10.0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'CH4'!$J$120</c:f>
              <c:strCache>
                <c:ptCount val="1"/>
                <c:pt idx="0">
                  <c:v>W conifer</c:v>
                </c:pt>
              </c:strCache>
            </c:strRef>
          </c:tx>
          <c:spPr>
            <a:ln w="47625">
              <a:noFill/>
            </a:ln>
          </c:spPr>
          <c:xVal>
            <c:strRef>
              <c:f>'CH4'!$X$125:$X$215</c:f>
              <c:strCache>
                <c:ptCount val="91"/>
                <c:pt idx="0">
                  <c:v>0.903</c:v>
                </c:pt>
                <c:pt idx="1">
                  <c:v>0.903</c:v>
                </c:pt>
                <c:pt idx="2">
                  <c:v>0.902</c:v>
                </c:pt>
                <c:pt idx="3">
                  <c:v>0.902</c:v>
                </c:pt>
                <c:pt idx="4">
                  <c:v>0.901</c:v>
                </c:pt>
                <c:pt idx="5">
                  <c:v>0.901</c:v>
                </c:pt>
                <c:pt idx="6">
                  <c:v>0.901</c:v>
                </c:pt>
                <c:pt idx="7">
                  <c:v>0.9</c:v>
                </c:pt>
                <c:pt idx="8">
                  <c:v>0.899</c:v>
                </c:pt>
                <c:pt idx="9">
                  <c:v>0.898</c:v>
                </c:pt>
                <c:pt idx="10">
                  <c:v>0.897</c:v>
                </c:pt>
                <c:pt idx="11">
                  <c:v>0.895</c:v>
                </c:pt>
                <c:pt idx="12">
                  <c:v>0.895</c:v>
                </c:pt>
                <c:pt idx="13">
                  <c:v>0.894</c:v>
                </c:pt>
                <c:pt idx="14">
                  <c:v>0.892</c:v>
                </c:pt>
                <c:pt idx="15">
                  <c:v>0.892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0.889</c:v>
                </c:pt>
                <c:pt idx="20">
                  <c:v>0.889</c:v>
                </c:pt>
                <c:pt idx="21">
                  <c:v>0.886</c:v>
                </c:pt>
                <c:pt idx="22">
                  <c:v>0.886</c:v>
                </c:pt>
                <c:pt idx="23">
                  <c:v>0.885</c:v>
                </c:pt>
                <c:pt idx="24">
                  <c:v>0.885</c:v>
                </c:pt>
                <c:pt idx="25">
                  <c:v>0.884</c:v>
                </c:pt>
                <c:pt idx="26">
                  <c:v>0.884</c:v>
                </c:pt>
                <c:pt idx="27">
                  <c:v>0.879</c:v>
                </c:pt>
                <c:pt idx="28">
                  <c:v>0.878</c:v>
                </c:pt>
                <c:pt idx="29">
                  <c:v>0.876</c:v>
                </c:pt>
                <c:pt idx="30">
                  <c:v>0.876</c:v>
                </c:pt>
                <c:pt idx="31">
                  <c:v>0.876</c:v>
                </c:pt>
                <c:pt idx="32">
                  <c:v>0.876</c:v>
                </c:pt>
                <c:pt idx="33">
                  <c:v>0.876</c:v>
                </c:pt>
                <c:pt idx="34">
                  <c:v>0.875</c:v>
                </c:pt>
                <c:pt idx="35">
                  <c:v>0.875</c:v>
                </c:pt>
                <c:pt idx="36">
                  <c:v>0.875</c:v>
                </c:pt>
                <c:pt idx="37">
                  <c:v>0.873</c:v>
                </c:pt>
                <c:pt idx="38">
                  <c:v>0.871</c:v>
                </c:pt>
                <c:pt idx="39">
                  <c:v>0.871</c:v>
                </c:pt>
                <c:pt idx="40">
                  <c:v>0.869</c:v>
                </c:pt>
                <c:pt idx="41">
                  <c:v>0.869</c:v>
                </c:pt>
                <c:pt idx="42">
                  <c:v>0.866</c:v>
                </c:pt>
                <c:pt idx="43">
                  <c:v>0.866</c:v>
                </c:pt>
                <c:pt idx="44">
                  <c:v>0.865</c:v>
                </c:pt>
                <c:pt idx="45">
                  <c:v>0.864</c:v>
                </c:pt>
                <c:pt idx="46">
                  <c:v>0.863</c:v>
                </c:pt>
                <c:pt idx="47">
                  <c:v>0.863</c:v>
                </c:pt>
                <c:pt idx="48">
                  <c:v>0.849</c:v>
                </c:pt>
                <c:pt idx="49">
                  <c:v>0.845</c:v>
                </c:pt>
                <c:pt idx="53">
                  <c:v>0.948400973</c:v>
                </c:pt>
                <c:pt idx="54">
                  <c:v>0.938367615</c:v>
                </c:pt>
                <c:pt idx="55">
                  <c:v>0.931630827</c:v>
                </c:pt>
                <c:pt idx="56">
                  <c:v>0.92572143</c:v>
                </c:pt>
                <c:pt idx="57">
                  <c:v>0.924018379</c:v>
                </c:pt>
                <c:pt idx="58">
                  <c:v>0.92372757</c:v>
                </c:pt>
                <c:pt idx="59">
                  <c:v>0.923</c:v>
                </c:pt>
                <c:pt idx="60">
                  <c:v>0.92</c:v>
                </c:pt>
                <c:pt idx="61">
                  <c:v>0.918659298</c:v>
                </c:pt>
                <c:pt idx="62">
                  <c:v>0.918314079</c:v>
                </c:pt>
                <c:pt idx="63">
                  <c:v>0.918096547</c:v>
                </c:pt>
                <c:pt idx="64">
                  <c:v>0.918</c:v>
                </c:pt>
                <c:pt idx="65">
                  <c:v>0.916377434</c:v>
                </c:pt>
                <c:pt idx="66">
                  <c:v>0.916377434</c:v>
                </c:pt>
                <c:pt idx="67">
                  <c:v>0.916200701</c:v>
                </c:pt>
                <c:pt idx="68">
                  <c:v>0.916</c:v>
                </c:pt>
                <c:pt idx="69">
                  <c:v>0.914260534</c:v>
                </c:pt>
                <c:pt idx="70">
                  <c:v>0.910481924</c:v>
                </c:pt>
                <c:pt idx="71">
                  <c:v>0.909936387</c:v>
                </c:pt>
                <c:pt idx="72">
                  <c:v>0.90572358</c:v>
                </c:pt>
                <c:pt idx="73">
                  <c:v>0.904</c:v>
                </c:pt>
                <c:pt idx="74">
                  <c:v>0.903989899</c:v>
                </c:pt>
                <c:pt idx="75">
                  <c:v>0.899803923</c:v>
                </c:pt>
                <c:pt idx="76">
                  <c:v>0.889626457</c:v>
                </c:pt>
                <c:pt idx="77">
                  <c:v>0.959</c:v>
                </c:pt>
                <c:pt idx="78">
                  <c:v>0.98</c:v>
                </c:pt>
                <c:pt idx="79">
                  <c:v>0.97</c:v>
                </c:pt>
                <c:pt idx="80">
                  <c:v>0.913</c:v>
                </c:pt>
                <c:pt idx="81">
                  <c:v>0.885</c:v>
                </c:pt>
                <c:pt idx="84">
                  <c:v>0.97</c:v>
                </c:pt>
                <c:pt idx="85">
                  <c:v>0.96</c:v>
                </c:pt>
                <c:pt idx="86">
                  <c:v>0.95</c:v>
                </c:pt>
                <c:pt idx="87">
                  <c:v>0.94</c:v>
                </c:pt>
                <c:pt idx="88">
                  <c:v>0.94</c:v>
                </c:pt>
                <c:pt idx="89">
                  <c:v>0.94</c:v>
                </c:pt>
                <c:pt idx="90">
                  <c:v>0.86</c:v>
                </c:pt>
              </c:strCache>
            </c:strRef>
          </c:xVal>
          <c:yVal>
            <c:numRef>
              <c:f>'CH4'!$Y$125:$Y$215</c:f>
              <c:numCache>
                <c:formatCode>General</c:formatCode>
                <c:ptCount val="91"/>
                <c:pt idx="0">
                  <c:v>5.51</c:v>
                </c:pt>
                <c:pt idx="1">
                  <c:v>5.27</c:v>
                </c:pt>
                <c:pt idx="2">
                  <c:v>5.15</c:v>
                </c:pt>
                <c:pt idx="3">
                  <c:v>5.68</c:v>
                </c:pt>
                <c:pt idx="4">
                  <c:v>5.87</c:v>
                </c:pt>
                <c:pt idx="5">
                  <c:v>6.31</c:v>
                </c:pt>
                <c:pt idx="6">
                  <c:v>6.03</c:v>
                </c:pt>
                <c:pt idx="7">
                  <c:v>5.65</c:v>
                </c:pt>
                <c:pt idx="8">
                  <c:v>6.28</c:v>
                </c:pt>
                <c:pt idx="9">
                  <c:v>6.55</c:v>
                </c:pt>
                <c:pt idx="10">
                  <c:v>6.2</c:v>
                </c:pt>
                <c:pt idx="11">
                  <c:v>6.53</c:v>
                </c:pt>
                <c:pt idx="12">
                  <c:v>6.39</c:v>
                </c:pt>
                <c:pt idx="13">
                  <c:v>7.05</c:v>
                </c:pt>
                <c:pt idx="14">
                  <c:v>6.62</c:v>
                </c:pt>
                <c:pt idx="15">
                  <c:v>6.23</c:v>
                </c:pt>
                <c:pt idx="16">
                  <c:v>6.74</c:v>
                </c:pt>
                <c:pt idx="17">
                  <c:v>6.8</c:v>
                </c:pt>
                <c:pt idx="18">
                  <c:v>7.57</c:v>
                </c:pt>
                <c:pt idx="19">
                  <c:v>6.769999999999999</c:v>
                </c:pt>
                <c:pt idx="20">
                  <c:v>7.76</c:v>
                </c:pt>
                <c:pt idx="21">
                  <c:v>6.8</c:v>
                </c:pt>
                <c:pt idx="22">
                  <c:v>7.15</c:v>
                </c:pt>
                <c:pt idx="23">
                  <c:v>7.74</c:v>
                </c:pt>
                <c:pt idx="24">
                  <c:v>7.18</c:v>
                </c:pt>
                <c:pt idx="25">
                  <c:v>6.65</c:v>
                </c:pt>
                <c:pt idx="26">
                  <c:v>7.83</c:v>
                </c:pt>
                <c:pt idx="27">
                  <c:v>6.41</c:v>
                </c:pt>
                <c:pt idx="28">
                  <c:v>7.36</c:v>
                </c:pt>
                <c:pt idx="29">
                  <c:v>7.34</c:v>
                </c:pt>
                <c:pt idx="30">
                  <c:v>7.2</c:v>
                </c:pt>
                <c:pt idx="31">
                  <c:v>9.62</c:v>
                </c:pt>
                <c:pt idx="32">
                  <c:v>7.69</c:v>
                </c:pt>
                <c:pt idx="33">
                  <c:v>7.78</c:v>
                </c:pt>
                <c:pt idx="34">
                  <c:v>8.09</c:v>
                </c:pt>
                <c:pt idx="35">
                  <c:v>7.07</c:v>
                </c:pt>
                <c:pt idx="36">
                  <c:v>9.5</c:v>
                </c:pt>
                <c:pt idx="37">
                  <c:v>7.46</c:v>
                </c:pt>
                <c:pt idx="38">
                  <c:v>8.53</c:v>
                </c:pt>
                <c:pt idx="39">
                  <c:v>7.7</c:v>
                </c:pt>
                <c:pt idx="40">
                  <c:v>8.710000000000001</c:v>
                </c:pt>
                <c:pt idx="41">
                  <c:v>9.0</c:v>
                </c:pt>
                <c:pt idx="42">
                  <c:v>8.57</c:v>
                </c:pt>
                <c:pt idx="43">
                  <c:v>8.130000000000001</c:v>
                </c:pt>
                <c:pt idx="44">
                  <c:v>8.65</c:v>
                </c:pt>
                <c:pt idx="45">
                  <c:v>8.52</c:v>
                </c:pt>
                <c:pt idx="46">
                  <c:v>8.17</c:v>
                </c:pt>
                <c:pt idx="47">
                  <c:v>8.140000000000001</c:v>
                </c:pt>
                <c:pt idx="48">
                  <c:v>12.09</c:v>
                </c:pt>
                <c:pt idx="49">
                  <c:v>9.46</c:v>
                </c:pt>
                <c:pt idx="50">
                  <c:v>2.6</c:v>
                </c:pt>
                <c:pt idx="51">
                  <c:v>3.0</c:v>
                </c:pt>
                <c:pt idx="52">
                  <c:v>3.0</c:v>
                </c:pt>
                <c:pt idx="53" formatCode="0.00">
                  <c:v>1.620187928</c:v>
                </c:pt>
                <c:pt idx="54" formatCode="0.00">
                  <c:v>2.493802222</c:v>
                </c:pt>
                <c:pt idx="55" formatCode="0.00">
                  <c:v>2.28618581</c:v>
                </c:pt>
                <c:pt idx="56" formatCode="0.00">
                  <c:v>3.324772858</c:v>
                </c:pt>
                <c:pt idx="57" formatCode="0.00">
                  <c:v>2.264151647</c:v>
                </c:pt>
                <c:pt idx="58" formatCode="0.00">
                  <c:v>3.124726632</c:v>
                </c:pt>
                <c:pt idx="59">
                  <c:v>4.4</c:v>
                </c:pt>
                <c:pt idx="60" formatCode="0.0">
                  <c:v>3.2</c:v>
                </c:pt>
                <c:pt idx="61" formatCode="0.00">
                  <c:v>3.529741164</c:v>
                </c:pt>
                <c:pt idx="62" formatCode="0.00">
                  <c:v>4.384650721</c:v>
                </c:pt>
                <c:pt idx="63" formatCode="0.00">
                  <c:v>3.525502308</c:v>
                </c:pt>
                <c:pt idx="64">
                  <c:v>4.95</c:v>
                </c:pt>
                <c:pt idx="65" formatCode="0.00">
                  <c:v>3.221598467</c:v>
                </c:pt>
                <c:pt idx="66" formatCode="0.00">
                  <c:v>3.221598467</c:v>
                </c:pt>
                <c:pt idx="67" formatCode="0.00">
                  <c:v>4.01</c:v>
                </c:pt>
                <c:pt idx="68">
                  <c:v>4.5</c:v>
                </c:pt>
                <c:pt idx="69" formatCode="0.00">
                  <c:v>4.016830112</c:v>
                </c:pt>
                <c:pt idx="70" formatCode="0.00">
                  <c:v>4.36623183</c:v>
                </c:pt>
                <c:pt idx="71" formatCode="0.00">
                  <c:v>4.435575993</c:v>
                </c:pt>
                <c:pt idx="72" formatCode="0.00">
                  <c:v>3.848343508</c:v>
                </c:pt>
                <c:pt idx="73">
                  <c:v>6.32</c:v>
                </c:pt>
                <c:pt idx="74" formatCode="0.00">
                  <c:v>3.259641191</c:v>
                </c:pt>
                <c:pt idx="75" formatCode="0.00">
                  <c:v>5.23</c:v>
                </c:pt>
                <c:pt idx="76" formatCode="0.00">
                  <c:v>4.862811429</c:v>
                </c:pt>
                <c:pt idx="77" formatCode="0.000">
                  <c:v>1.208</c:v>
                </c:pt>
                <c:pt idx="78">
                  <c:v>1.197</c:v>
                </c:pt>
                <c:pt idx="79">
                  <c:v>1.939</c:v>
                </c:pt>
                <c:pt idx="80" formatCode="0.00">
                  <c:v>5.51</c:v>
                </c:pt>
                <c:pt idx="81" formatCode="0.00">
                  <c:v>7.94</c:v>
                </c:pt>
                <c:pt idx="82">
                  <c:v>6.2</c:v>
                </c:pt>
                <c:pt idx="83">
                  <c:v>2.4</c:v>
                </c:pt>
                <c:pt idx="84">
                  <c:v>1.8</c:v>
                </c:pt>
                <c:pt idx="85">
                  <c:v>4.3</c:v>
                </c:pt>
                <c:pt idx="86">
                  <c:v>2.6</c:v>
                </c:pt>
                <c:pt idx="87">
                  <c:v>2.6</c:v>
                </c:pt>
                <c:pt idx="88">
                  <c:v>4.3</c:v>
                </c:pt>
                <c:pt idx="89">
                  <c:v>4.5</c:v>
                </c:pt>
                <c:pt idx="90">
                  <c:v>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812552"/>
        <c:axId val="-2114815624"/>
      </c:scatterChart>
      <c:valAx>
        <c:axId val="-2114812552"/>
        <c:scaling>
          <c:orientation val="minMax"/>
          <c:max val="1.0"/>
          <c:min val="0.6"/>
        </c:scaling>
        <c:delete val="0"/>
        <c:axPos val="b"/>
        <c:numFmt formatCode="General" sourceLinked="1"/>
        <c:majorTickMark val="out"/>
        <c:minorTickMark val="none"/>
        <c:tickLblPos val="nextTo"/>
        <c:crossAx val="-2114815624"/>
        <c:crosses val="autoZero"/>
        <c:crossBetween val="midCat"/>
      </c:valAx>
      <c:valAx>
        <c:axId val="-2114815624"/>
        <c:scaling>
          <c:orientation val="minMax"/>
          <c:max val="2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4812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'CH4'!$X$5:$X$18</c:f>
              <c:numCache>
                <c:formatCode>General</c:formatCode>
                <c:ptCount val="14"/>
                <c:pt idx="0">
                  <c:v>0.957</c:v>
                </c:pt>
                <c:pt idx="1">
                  <c:v>0.971</c:v>
                </c:pt>
                <c:pt idx="2">
                  <c:v>0.942</c:v>
                </c:pt>
                <c:pt idx="3">
                  <c:v>0.929</c:v>
                </c:pt>
                <c:pt idx="4">
                  <c:v>0.917</c:v>
                </c:pt>
                <c:pt idx="5">
                  <c:v>0.916</c:v>
                </c:pt>
                <c:pt idx="6">
                  <c:v>0.865</c:v>
                </c:pt>
                <c:pt idx="7">
                  <c:v>0.868</c:v>
                </c:pt>
                <c:pt idx="8">
                  <c:v>0.879</c:v>
                </c:pt>
                <c:pt idx="9">
                  <c:v>0.869</c:v>
                </c:pt>
                <c:pt idx="10">
                  <c:v>0.873</c:v>
                </c:pt>
                <c:pt idx="11">
                  <c:v>0.861</c:v>
                </c:pt>
                <c:pt idx="12">
                  <c:v>0.868</c:v>
                </c:pt>
                <c:pt idx="13">
                  <c:v>0.85</c:v>
                </c:pt>
              </c:numCache>
            </c:numRef>
          </c:xVal>
          <c:yVal>
            <c:numRef>
              <c:f>'CH4'!$Y$5:$Y$18</c:f>
              <c:numCache>
                <c:formatCode>0.0</c:formatCode>
                <c:ptCount val="14"/>
                <c:pt idx="0">
                  <c:v>0.8</c:v>
                </c:pt>
                <c:pt idx="1">
                  <c:v>1.7</c:v>
                </c:pt>
                <c:pt idx="2" formatCode="0.00">
                  <c:v>2.072845091</c:v>
                </c:pt>
                <c:pt idx="3" formatCode="0.00">
                  <c:v>2.27</c:v>
                </c:pt>
                <c:pt idx="4" formatCode="General">
                  <c:v>2.96</c:v>
                </c:pt>
                <c:pt idx="5" formatCode="0.00">
                  <c:v>3.31</c:v>
                </c:pt>
                <c:pt idx="6" formatCode="General">
                  <c:v>7.26</c:v>
                </c:pt>
                <c:pt idx="7" formatCode="General">
                  <c:v>7.32</c:v>
                </c:pt>
                <c:pt idx="8" formatCode="General">
                  <c:v>7.48</c:v>
                </c:pt>
                <c:pt idx="9" formatCode="General">
                  <c:v>7.71</c:v>
                </c:pt>
                <c:pt idx="10" formatCode="General">
                  <c:v>7.74</c:v>
                </c:pt>
                <c:pt idx="11" formatCode="General">
                  <c:v>7.81</c:v>
                </c:pt>
                <c:pt idx="12" formatCode="General">
                  <c:v>8.66</c:v>
                </c:pt>
                <c:pt idx="13" formatCode="General">
                  <c:v>9.18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838760"/>
        <c:axId val="-2114841784"/>
      </c:scatterChart>
      <c:valAx>
        <c:axId val="-211483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4841784"/>
        <c:crosses val="autoZero"/>
        <c:crossBetween val="midCat"/>
      </c:valAx>
      <c:valAx>
        <c:axId val="-21148417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114838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'W conifer CH4 (WF,RX) - NOTUSED'!$X$5:$X$65</c:f>
              <c:numCache>
                <c:formatCode>General</c:formatCode>
                <c:ptCount val="61"/>
                <c:pt idx="0">
                  <c:v>0.97</c:v>
                </c:pt>
                <c:pt idx="1">
                  <c:v>0.96</c:v>
                </c:pt>
                <c:pt idx="2">
                  <c:v>0.95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0.923</c:v>
                </c:pt>
                <c:pt idx="7">
                  <c:v>0.918</c:v>
                </c:pt>
                <c:pt idx="8">
                  <c:v>0.916</c:v>
                </c:pt>
                <c:pt idx="9">
                  <c:v>0.904</c:v>
                </c:pt>
                <c:pt idx="10">
                  <c:v>0.903</c:v>
                </c:pt>
                <c:pt idx="11">
                  <c:v>0.903</c:v>
                </c:pt>
                <c:pt idx="12">
                  <c:v>0.902</c:v>
                </c:pt>
                <c:pt idx="13">
                  <c:v>0.902</c:v>
                </c:pt>
                <c:pt idx="14">
                  <c:v>0.901</c:v>
                </c:pt>
                <c:pt idx="15">
                  <c:v>0.901</c:v>
                </c:pt>
                <c:pt idx="16">
                  <c:v>0.901</c:v>
                </c:pt>
                <c:pt idx="17">
                  <c:v>0.9</c:v>
                </c:pt>
                <c:pt idx="18">
                  <c:v>0.899</c:v>
                </c:pt>
                <c:pt idx="19">
                  <c:v>0.898</c:v>
                </c:pt>
                <c:pt idx="20">
                  <c:v>0.897</c:v>
                </c:pt>
                <c:pt idx="21">
                  <c:v>0.895</c:v>
                </c:pt>
                <c:pt idx="22">
                  <c:v>0.895</c:v>
                </c:pt>
                <c:pt idx="23">
                  <c:v>0.894</c:v>
                </c:pt>
                <c:pt idx="24">
                  <c:v>0.892</c:v>
                </c:pt>
                <c:pt idx="25">
                  <c:v>0.892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0.889</c:v>
                </c:pt>
                <c:pt idx="30">
                  <c:v>0.889</c:v>
                </c:pt>
                <c:pt idx="31">
                  <c:v>0.886</c:v>
                </c:pt>
                <c:pt idx="32">
                  <c:v>0.886</c:v>
                </c:pt>
                <c:pt idx="33">
                  <c:v>0.885</c:v>
                </c:pt>
                <c:pt idx="34">
                  <c:v>0.885</c:v>
                </c:pt>
                <c:pt idx="35">
                  <c:v>0.884</c:v>
                </c:pt>
                <c:pt idx="36">
                  <c:v>0.884</c:v>
                </c:pt>
                <c:pt idx="37">
                  <c:v>0.879</c:v>
                </c:pt>
                <c:pt idx="38">
                  <c:v>0.878</c:v>
                </c:pt>
                <c:pt idx="39">
                  <c:v>0.876</c:v>
                </c:pt>
                <c:pt idx="40">
                  <c:v>0.876</c:v>
                </c:pt>
                <c:pt idx="41">
                  <c:v>0.876</c:v>
                </c:pt>
                <c:pt idx="42">
                  <c:v>0.876</c:v>
                </c:pt>
                <c:pt idx="43">
                  <c:v>0.876</c:v>
                </c:pt>
                <c:pt idx="44">
                  <c:v>0.875</c:v>
                </c:pt>
                <c:pt idx="45">
                  <c:v>0.875</c:v>
                </c:pt>
                <c:pt idx="46">
                  <c:v>0.875</c:v>
                </c:pt>
                <c:pt idx="47">
                  <c:v>0.873</c:v>
                </c:pt>
                <c:pt idx="48">
                  <c:v>0.871</c:v>
                </c:pt>
                <c:pt idx="49">
                  <c:v>0.871</c:v>
                </c:pt>
                <c:pt idx="50">
                  <c:v>0.869</c:v>
                </c:pt>
                <c:pt idx="51">
                  <c:v>0.869</c:v>
                </c:pt>
                <c:pt idx="52">
                  <c:v>0.866</c:v>
                </c:pt>
                <c:pt idx="53">
                  <c:v>0.866</c:v>
                </c:pt>
                <c:pt idx="54">
                  <c:v>0.865</c:v>
                </c:pt>
                <c:pt idx="55">
                  <c:v>0.864</c:v>
                </c:pt>
                <c:pt idx="56">
                  <c:v>0.863</c:v>
                </c:pt>
                <c:pt idx="57">
                  <c:v>0.863</c:v>
                </c:pt>
                <c:pt idx="58">
                  <c:v>0.86</c:v>
                </c:pt>
                <c:pt idx="59">
                  <c:v>0.849</c:v>
                </c:pt>
                <c:pt idx="60">
                  <c:v>0.845</c:v>
                </c:pt>
              </c:numCache>
            </c:numRef>
          </c:xVal>
          <c:yVal>
            <c:numRef>
              <c:f>'W conifer CH4 (WF,RX) - NOTUSED'!$Y$5:$Y$65</c:f>
              <c:numCache>
                <c:formatCode>General</c:formatCode>
                <c:ptCount val="61"/>
                <c:pt idx="0">
                  <c:v>1.8</c:v>
                </c:pt>
                <c:pt idx="1">
                  <c:v>4.3</c:v>
                </c:pt>
                <c:pt idx="2">
                  <c:v>2.6</c:v>
                </c:pt>
                <c:pt idx="3">
                  <c:v>2.6</c:v>
                </c:pt>
                <c:pt idx="4">
                  <c:v>4.3</c:v>
                </c:pt>
                <c:pt idx="5">
                  <c:v>4.5</c:v>
                </c:pt>
                <c:pt idx="6">
                  <c:v>4.4</c:v>
                </c:pt>
                <c:pt idx="7">
                  <c:v>4.95</c:v>
                </c:pt>
                <c:pt idx="8">
                  <c:v>4.5</c:v>
                </c:pt>
                <c:pt idx="9">
                  <c:v>6.32</c:v>
                </c:pt>
                <c:pt idx="10">
                  <c:v>5.51</c:v>
                </c:pt>
                <c:pt idx="11">
                  <c:v>5.27</c:v>
                </c:pt>
                <c:pt idx="12">
                  <c:v>5.15</c:v>
                </c:pt>
                <c:pt idx="13">
                  <c:v>5.68</c:v>
                </c:pt>
                <c:pt idx="14">
                  <c:v>5.87</c:v>
                </c:pt>
                <c:pt idx="15">
                  <c:v>6.31</c:v>
                </c:pt>
                <c:pt idx="16">
                  <c:v>6.03</c:v>
                </c:pt>
                <c:pt idx="17">
                  <c:v>5.65</c:v>
                </c:pt>
                <c:pt idx="18">
                  <c:v>6.28</c:v>
                </c:pt>
                <c:pt idx="19">
                  <c:v>6.55</c:v>
                </c:pt>
                <c:pt idx="20">
                  <c:v>6.2</c:v>
                </c:pt>
                <c:pt idx="21">
                  <c:v>6.53</c:v>
                </c:pt>
                <c:pt idx="22">
                  <c:v>6.39</c:v>
                </c:pt>
                <c:pt idx="23">
                  <c:v>7.05</c:v>
                </c:pt>
                <c:pt idx="24">
                  <c:v>6.62</c:v>
                </c:pt>
                <c:pt idx="25">
                  <c:v>6.23</c:v>
                </c:pt>
                <c:pt idx="26">
                  <c:v>6.74</c:v>
                </c:pt>
                <c:pt idx="27">
                  <c:v>6.8</c:v>
                </c:pt>
                <c:pt idx="28">
                  <c:v>7.57</c:v>
                </c:pt>
                <c:pt idx="29">
                  <c:v>6.769999999999999</c:v>
                </c:pt>
                <c:pt idx="30">
                  <c:v>7.76</c:v>
                </c:pt>
                <c:pt idx="31">
                  <c:v>6.8</c:v>
                </c:pt>
                <c:pt idx="32">
                  <c:v>7.15</c:v>
                </c:pt>
                <c:pt idx="33">
                  <c:v>7.74</c:v>
                </c:pt>
                <c:pt idx="34">
                  <c:v>7.18</c:v>
                </c:pt>
                <c:pt idx="35">
                  <c:v>6.65</c:v>
                </c:pt>
                <c:pt idx="36">
                  <c:v>7.83</c:v>
                </c:pt>
                <c:pt idx="37">
                  <c:v>6.41</c:v>
                </c:pt>
                <c:pt idx="38">
                  <c:v>7.36</c:v>
                </c:pt>
                <c:pt idx="39">
                  <c:v>7.34</c:v>
                </c:pt>
                <c:pt idx="40">
                  <c:v>7.2</c:v>
                </c:pt>
                <c:pt idx="41">
                  <c:v>9.62</c:v>
                </c:pt>
                <c:pt idx="42">
                  <c:v>7.69</c:v>
                </c:pt>
                <c:pt idx="43">
                  <c:v>7.78</c:v>
                </c:pt>
                <c:pt idx="44">
                  <c:v>8.09</c:v>
                </c:pt>
                <c:pt idx="45">
                  <c:v>7.07</c:v>
                </c:pt>
                <c:pt idx="46">
                  <c:v>9.5</c:v>
                </c:pt>
                <c:pt idx="47">
                  <c:v>7.46</c:v>
                </c:pt>
                <c:pt idx="48">
                  <c:v>8.53</c:v>
                </c:pt>
                <c:pt idx="49">
                  <c:v>7.7</c:v>
                </c:pt>
                <c:pt idx="50">
                  <c:v>8.710000000000001</c:v>
                </c:pt>
                <c:pt idx="51">
                  <c:v>9.0</c:v>
                </c:pt>
                <c:pt idx="52">
                  <c:v>8.57</c:v>
                </c:pt>
                <c:pt idx="53">
                  <c:v>8.130000000000001</c:v>
                </c:pt>
                <c:pt idx="54">
                  <c:v>8.65</c:v>
                </c:pt>
                <c:pt idx="55">
                  <c:v>8.52</c:v>
                </c:pt>
                <c:pt idx="56">
                  <c:v>8.17</c:v>
                </c:pt>
                <c:pt idx="57">
                  <c:v>8.140000000000001</c:v>
                </c:pt>
                <c:pt idx="58">
                  <c:v>8.4</c:v>
                </c:pt>
                <c:pt idx="59">
                  <c:v>12.09</c:v>
                </c:pt>
                <c:pt idx="60">
                  <c:v>9.46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897096"/>
        <c:axId val="-2114899960"/>
      </c:scatterChart>
      <c:valAx>
        <c:axId val="-211489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4899960"/>
        <c:crosses val="autoZero"/>
        <c:crossBetween val="midCat"/>
      </c:valAx>
      <c:valAx>
        <c:axId val="-2114899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4897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'W conifer CH4 (WF,RX) - NOTUSED'!$X$69:$X$98</c:f>
              <c:numCache>
                <c:formatCode>General</c:formatCode>
                <c:ptCount val="30"/>
                <c:pt idx="0">
                  <c:v>0.98</c:v>
                </c:pt>
                <c:pt idx="1">
                  <c:v>0.97</c:v>
                </c:pt>
                <c:pt idx="2">
                  <c:v>0.959</c:v>
                </c:pt>
                <c:pt idx="3">
                  <c:v>0.95</c:v>
                </c:pt>
                <c:pt idx="4">
                  <c:v>0.948400973</c:v>
                </c:pt>
                <c:pt idx="5">
                  <c:v>0.938367615</c:v>
                </c:pt>
                <c:pt idx="6">
                  <c:v>0.934</c:v>
                </c:pt>
                <c:pt idx="7">
                  <c:v>0.931630827</c:v>
                </c:pt>
                <c:pt idx="8">
                  <c:v>0.92572143</c:v>
                </c:pt>
                <c:pt idx="9">
                  <c:v>0.924018379</c:v>
                </c:pt>
                <c:pt idx="10">
                  <c:v>0.92372757</c:v>
                </c:pt>
                <c:pt idx="11">
                  <c:v>0.92</c:v>
                </c:pt>
                <c:pt idx="12">
                  <c:v>0.92</c:v>
                </c:pt>
                <c:pt idx="13">
                  <c:v>0.918659298</c:v>
                </c:pt>
                <c:pt idx="14">
                  <c:v>0.918314079</c:v>
                </c:pt>
                <c:pt idx="15">
                  <c:v>0.918096547</c:v>
                </c:pt>
                <c:pt idx="16">
                  <c:v>0.916377434</c:v>
                </c:pt>
                <c:pt idx="17">
                  <c:v>0.916377434</c:v>
                </c:pt>
                <c:pt idx="18">
                  <c:v>0.916200701</c:v>
                </c:pt>
                <c:pt idx="19">
                  <c:v>0.915</c:v>
                </c:pt>
                <c:pt idx="20">
                  <c:v>0.914260534</c:v>
                </c:pt>
                <c:pt idx="21">
                  <c:v>0.913</c:v>
                </c:pt>
                <c:pt idx="22">
                  <c:v>0.910481924</c:v>
                </c:pt>
                <c:pt idx="23">
                  <c:v>0.909936387</c:v>
                </c:pt>
                <c:pt idx="24">
                  <c:v>0.906</c:v>
                </c:pt>
                <c:pt idx="25">
                  <c:v>0.90572358</c:v>
                </c:pt>
                <c:pt idx="26">
                  <c:v>0.903989899</c:v>
                </c:pt>
                <c:pt idx="27">
                  <c:v>0.899803923</c:v>
                </c:pt>
                <c:pt idx="28">
                  <c:v>0.889626457</c:v>
                </c:pt>
                <c:pt idx="29">
                  <c:v>0.885</c:v>
                </c:pt>
              </c:numCache>
            </c:numRef>
          </c:xVal>
          <c:yVal>
            <c:numRef>
              <c:f>'W conifer CH4 (WF,RX) - NOTUSED'!$Y$69:$Y$98</c:f>
              <c:numCache>
                <c:formatCode>General</c:formatCode>
                <c:ptCount val="30"/>
                <c:pt idx="0">
                  <c:v>1.197</c:v>
                </c:pt>
                <c:pt idx="1">
                  <c:v>1.939</c:v>
                </c:pt>
                <c:pt idx="2" formatCode="0.000">
                  <c:v>1.208</c:v>
                </c:pt>
                <c:pt idx="3">
                  <c:v>2.664</c:v>
                </c:pt>
                <c:pt idx="4" formatCode="0.00">
                  <c:v>1.620187928</c:v>
                </c:pt>
                <c:pt idx="5" formatCode="0.00">
                  <c:v>2.493802222</c:v>
                </c:pt>
                <c:pt idx="6" formatCode="0.00">
                  <c:v>3.998</c:v>
                </c:pt>
                <c:pt idx="7" formatCode="0.00">
                  <c:v>2.28618581</c:v>
                </c:pt>
                <c:pt idx="8" formatCode="0.00">
                  <c:v>3.324772858</c:v>
                </c:pt>
                <c:pt idx="9" formatCode="0.00">
                  <c:v>2.264151647</c:v>
                </c:pt>
                <c:pt idx="10" formatCode="0.00">
                  <c:v>3.124726632</c:v>
                </c:pt>
                <c:pt idx="11" formatCode="0.0">
                  <c:v>4.2</c:v>
                </c:pt>
                <c:pt idx="12" formatCode="0.0">
                  <c:v>3.2</c:v>
                </c:pt>
                <c:pt idx="13" formatCode="0.00">
                  <c:v>3.529741164</c:v>
                </c:pt>
                <c:pt idx="14" formatCode="0.00">
                  <c:v>4.384650721</c:v>
                </c:pt>
                <c:pt idx="15" formatCode="0.00">
                  <c:v>3.525502308</c:v>
                </c:pt>
                <c:pt idx="16" formatCode="0.00">
                  <c:v>3.221598467</c:v>
                </c:pt>
                <c:pt idx="17" formatCode="0.00">
                  <c:v>3.221598467</c:v>
                </c:pt>
                <c:pt idx="18" formatCode="0.00">
                  <c:v>4.01</c:v>
                </c:pt>
                <c:pt idx="19" formatCode="0.0">
                  <c:v>3.7</c:v>
                </c:pt>
                <c:pt idx="20" formatCode="0.00">
                  <c:v>4.016830112</c:v>
                </c:pt>
                <c:pt idx="21" formatCode="0.00">
                  <c:v>5.51</c:v>
                </c:pt>
                <c:pt idx="22" formatCode="0.00">
                  <c:v>4.36623183</c:v>
                </c:pt>
                <c:pt idx="23" formatCode="0.00">
                  <c:v>4.435575993</c:v>
                </c:pt>
                <c:pt idx="24" formatCode="0.0">
                  <c:v>4.1</c:v>
                </c:pt>
                <c:pt idx="25" formatCode="0.00">
                  <c:v>3.848343508</c:v>
                </c:pt>
                <c:pt idx="26" formatCode="0.00">
                  <c:v>3.259641191</c:v>
                </c:pt>
                <c:pt idx="27" formatCode="0.00">
                  <c:v>5.23</c:v>
                </c:pt>
                <c:pt idx="28" formatCode="0.00">
                  <c:v>4.862811429</c:v>
                </c:pt>
                <c:pt idx="29" formatCode="0.00">
                  <c:v>7.94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931416"/>
        <c:axId val="-2114934184"/>
      </c:scatterChart>
      <c:valAx>
        <c:axId val="-2114931416"/>
        <c:scaling>
          <c:orientation val="minMax"/>
          <c:min val="0.82"/>
        </c:scaling>
        <c:delete val="0"/>
        <c:axPos val="b"/>
        <c:numFmt formatCode="General" sourceLinked="1"/>
        <c:majorTickMark val="out"/>
        <c:minorTickMark val="none"/>
        <c:tickLblPos val="nextTo"/>
        <c:crossAx val="-2114934184"/>
        <c:crosses val="autoZero"/>
        <c:crossBetween val="midCat"/>
      </c:valAx>
      <c:valAx>
        <c:axId val="-2114934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4931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'CO2'!$X$124:$X$167</c:f>
              <c:numCache>
                <c:formatCode>General</c:formatCode>
                <c:ptCount val="44"/>
                <c:pt idx="0">
                  <c:v>0.99</c:v>
                </c:pt>
                <c:pt idx="1">
                  <c:v>0.979</c:v>
                </c:pt>
                <c:pt idx="2">
                  <c:v>0.97</c:v>
                </c:pt>
                <c:pt idx="3">
                  <c:v>0.957</c:v>
                </c:pt>
                <c:pt idx="4">
                  <c:v>0.957</c:v>
                </c:pt>
                <c:pt idx="5">
                  <c:v>0.952</c:v>
                </c:pt>
                <c:pt idx="6">
                  <c:v>0.952</c:v>
                </c:pt>
                <c:pt idx="7">
                  <c:v>0.951</c:v>
                </c:pt>
                <c:pt idx="8">
                  <c:v>0.945</c:v>
                </c:pt>
                <c:pt idx="9">
                  <c:v>0.944</c:v>
                </c:pt>
                <c:pt idx="10">
                  <c:v>0.943</c:v>
                </c:pt>
                <c:pt idx="11">
                  <c:v>0.942</c:v>
                </c:pt>
                <c:pt idx="12">
                  <c:v>0.942</c:v>
                </c:pt>
                <c:pt idx="13">
                  <c:v>0.941</c:v>
                </c:pt>
                <c:pt idx="14">
                  <c:v>0.94</c:v>
                </c:pt>
                <c:pt idx="15">
                  <c:v>0.938</c:v>
                </c:pt>
                <c:pt idx="16">
                  <c:v>0.936</c:v>
                </c:pt>
                <c:pt idx="17">
                  <c:v>0.936</c:v>
                </c:pt>
                <c:pt idx="18">
                  <c:v>0.935</c:v>
                </c:pt>
                <c:pt idx="19">
                  <c:v>0.934</c:v>
                </c:pt>
                <c:pt idx="20">
                  <c:v>0.933</c:v>
                </c:pt>
                <c:pt idx="21">
                  <c:v>0.932</c:v>
                </c:pt>
                <c:pt idx="22">
                  <c:v>0.931</c:v>
                </c:pt>
                <c:pt idx="23">
                  <c:v>0.93</c:v>
                </c:pt>
                <c:pt idx="24">
                  <c:v>0.928</c:v>
                </c:pt>
                <c:pt idx="25">
                  <c:v>0.927</c:v>
                </c:pt>
                <c:pt idx="26">
                  <c:v>0.925</c:v>
                </c:pt>
                <c:pt idx="27">
                  <c:v>0.919</c:v>
                </c:pt>
                <c:pt idx="28">
                  <c:v>0.918</c:v>
                </c:pt>
                <c:pt idx="29">
                  <c:v>0.915</c:v>
                </c:pt>
                <c:pt idx="30">
                  <c:v>0.914</c:v>
                </c:pt>
                <c:pt idx="31">
                  <c:v>0.904</c:v>
                </c:pt>
                <c:pt idx="32">
                  <c:v>0.904</c:v>
                </c:pt>
                <c:pt idx="33">
                  <c:v>0.901</c:v>
                </c:pt>
                <c:pt idx="34">
                  <c:v>0.896</c:v>
                </c:pt>
                <c:pt idx="35">
                  <c:v>0.894</c:v>
                </c:pt>
                <c:pt idx="36">
                  <c:v>0.864</c:v>
                </c:pt>
                <c:pt idx="37">
                  <c:v>0.858</c:v>
                </c:pt>
                <c:pt idx="38">
                  <c:v>0.849</c:v>
                </c:pt>
                <c:pt idx="39">
                  <c:v>0.826</c:v>
                </c:pt>
                <c:pt idx="40">
                  <c:v>0.82</c:v>
                </c:pt>
                <c:pt idx="41">
                  <c:v>0.794</c:v>
                </c:pt>
                <c:pt idx="42">
                  <c:v>0.789</c:v>
                </c:pt>
                <c:pt idx="43">
                  <c:v>0.76</c:v>
                </c:pt>
              </c:numCache>
            </c:numRef>
          </c:xVal>
          <c:yVal>
            <c:numRef>
              <c:f>'CO2'!$Y$124:$Y$167</c:f>
              <c:numCache>
                <c:formatCode>General</c:formatCode>
                <c:ptCount val="44"/>
                <c:pt idx="0">
                  <c:v>1773.0</c:v>
                </c:pt>
                <c:pt idx="1">
                  <c:v>1793.0</c:v>
                </c:pt>
                <c:pt idx="2">
                  <c:v>1693.0</c:v>
                </c:pt>
                <c:pt idx="3" formatCode="0">
                  <c:v>1725.0</c:v>
                </c:pt>
                <c:pt idx="4">
                  <c:v>1739.0</c:v>
                </c:pt>
                <c:pt idx="5" formatCode="0">
                  <c:v>1733.0</c:v>
                </c:pt>
                <c:pt idx="6" formatCode="0">
                  <c:v>1711.844583</c:v>
                </c:pt>
                <c:pt idx="7" formatCode="0">
                  <c:v>1714.0</c:v>
                </c:pt>
                <c:pt idx="8" formatCode="0">
                  <c:v>1696.0</c:v>
                </c:pt>
                <c:pt idx="9" formatCode="0">
                  <c:v>1659.0</c:v>
                </c:pt>
                <c:pt idx="10" formatCode="0">
                  <c:v>1691.0</c:v>
                </c:pt>
                <c:pt idx="11" formatCode="0">
                  <c:v>1660.0</c:v>
                </c:pt>
                <c:pt idx="12" formatCode="0">
                  <c:v>1687.058515</c:v>
                </c:pt>
                <c:pt idx="13" formatCode="0">
                  <c:v>1683.209457</c:v>
                </c:pt>
                <c:pt idx="14" formatCode="0">
                  <c:v>1690.32901</c:v>
                </c:pt>
                <c:pt idx="15">
                  <c:v>1696.0</c:v>
                </c:pt>
                <c:pt idx="16" formatCode="0">
                  <c:v>1682.399518</c:v>
                </c:pt>
                <c:pt idx="17" formatCode="0">
                  <c:v>1679.310996</c:v>
                </c:pt>
                <c:pt idx="18">
                  <c:v>1679.0</c:v>
                </c:pt>
                <c:pt idx="19" formatCode="0">
                  <c:v>1680.620891</c:v>
                </c:pt>
                <c:pt idx="20">
                  <c:v>1686.0</c:v>
                </c:pt>
                <c:pt idx="21" formatCode="0">
                  <c:v>1651.079082</c:v>
                </c:pt>
                <c:pt idx="22" formatCode="0">
                  <c:v>1686.0</c:v>
                </c:pt>
                <c:pt idx="23" formatCode="0">
                  <c:v>1632.0</c:v>
                </c:pt>
                <c:pt idx="24" formatCode="0">
                  <c:v>1656.812334</c:v>
                </c:pt>
                <c:pt idx="25">
                  <c:v>1671.0</c:v>
                </c:pt>
                <c:pt idx="26">
                  <c:v>1682.0</c:v>
                </c:pt>
                <c:pt idx="27">
                  <c:v>1643.0</c:v>
                </c:pt>
                <c:pt idx="28" formatCode="0">
                  <c:v>1652.520652</c:v>
                </c:pt>
                <c:pt idx="29" formatCode="0">
                  <c:v>1630.360902</c:v>
                </c:pt>
                <c:pt idx="30" formatCode="0">
                  <c:v>1660.0</c:v>
                </c:pt>
                <c:pt idx="31" formatCode="0">
                  <c:v>1621.282087</c:v>
                </c:pt>
                <c:pt idx="32">
                  <c:v>1606.0</c:v>
                </c:pt>
                <c:pt idx="33">
                  <c:v>1652.0</c:v>
                </c:pt>
                <c:pt idx="34">
                  <c:v>1656.0</c:v>
                </c:pt>
                <c:pt idx="35">
                  <c:v>1710.0</c:v>
                </c:pt>
                <c:pt idx="36" formatCode="0">
                  <c:v>1567.0</c:v>
                </c:pt>
                <c:pt idx="37">
                  <c:v>1496.0</c:v>
                </c:pt>
                <c:pt idx="38" formatCode="0">
                  <c:v>1544.0</c:v>
                </c:pt>
                <c:pt idx="39">
                  <c:v>1554.0</c:v>
                </c:pt>
                <c:pt idx="40">
                  <c:v>1185.0</c:v>
                </c:pt>
                <c:pt idx="41" formatCode="0">
                  <c:v>1446.0</c:v>
                </c:pt>
                <c:pt idx="42">
                  <c:v>1305.0</c:v>
                </c:pt>
                <c:pt idx="43">
                  <c:v>1068.0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747848"/>
        <c:axId val="-2113750888"/>
      </c:scatterChart>
      <c:valAx>
        <c:axId val="-2113747848"/>
        <c:scaling>
          <c:orientation val="minMax"/>
          <c:min val="0.7"/>
        </c:scaling>
        <c:delete val="0"/>
        <c:axPos val="b"/>
        <c:numFmt formatCode="General" sourceLinked="1"/>
        <c:majorTickMark val="out"/>
        <c:minorTickMark val="none"/>
        <c:tickLblPos val="nextTo"/>
        <c:crossAx val="-2113750888"/>
        <c:crosses val="autoZero"/>
        <c:crossBetween val="midCat"/>
      </c:valAx>
      <c:valAx>
        <c:axId val="-2113750888"/>
        <c:scaling>
          <c:orientation val="minMax"/>
          <c:min val="1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3747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WF</c:v>
          </c:tx>
          <c:spPr>
            <a:ln w="47625">
              <a:noFill/>
            </a:ln>
          </c:spPr>
          <c:xVal>
            <c:numRef>
              <c:f>'W conifer CH4 (WF,RX) - NOTUSED'!$X$5:$X$65</c:f>
              <c:numCache>
                <c:formatCode>General</c:formatCode>
                <c:ptCount val="61"/>
                <c:pt idx="0">
                  <c:v>0.97</c:v>
                </c:pt>
                <c:pt idx="1">
                  <c:v>0.96</c:v>
                </c:pt>
                <c:pt idx="2">
                  <c:v>0.95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0.923</c:v>
                </c:pt>
                <c:pt idx="7">
                  <c:v>0.918</c:v>
                </c:pt>
                <c:pt idx="8">
                  <c:v>0.916</c:v>
                </c:pt>
                <c:pt idx="9">
                  <c:v>0.904</c:v>
                </c:pt>
                <c:pt idx="10">
                  <c:v>0.903</c:v>
                </c:pt>
                <c:pt idx="11">
                  <c:v>0.903</c:v>
                </c:pt>
                <c:pt idx="12">
                  <c:v>0.902</c:v>
                </c:pt>
                <c:pt idx="13">
                  <c:v>0.902</c:v>
                </c:pt>
                <c:pt idx="14">
                  <c:v>0.901</c:v>
                </c:pt>
                <c:pt idx="15">
                  <c:v>0.901</c:v>
                </c:pt>
                <c:pt idx="16">
                  <c:v>0.901</c:v>
                </c:pt>
                <c:pt idx="17">
                  <c:v>0.9</c:v>
                </c:pt>
                <c:pt idx="18">
                  <c:v>0.899</c:v>
                </c:pt>
                <c:pt idx="19">
                  <c:v>0.898</c:v>
                </c:pt>
                <c:pt idx="20">
                  <c:v>0.897</c:v>
                </c:pt>
                <c:pt idx="21">
                  <c:v>0.895</c:v>
                </c:pt>
                <c:pt idx="22">
                  <c:v>0.895</c:v>
                </c:pt>
                <c:pt idx="23">
                  <c:v>0.894</c:v>
                </c:pt>
                <c:pt idx="24">
                  <c:v>0.892</c:v>
                </c:pt>
                <c:pt idx="25">
                  <c:v>0.892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0.889</c:v>
                </c:pt>
                <c:pt idx="30">
                  <c:v>0.889</c:v>
                </c:pt>
                <c:pt idx="31">
                  <c:v>0.886</c:v>
                </c:pt>
                <c:pt idx="32">
                  <c:v>0.886</c:v>
                </c:pt>
                <c:pt idx="33">
                  <c:v>0.885</c:v>
                </c:pt>
                <c:pt idx="34">
                  <c:v>0.885</c:v>
                </c:pt>
                <c:pt idx="35">
                  <c:v>0.884</c:v>
                </c:pt>
                <c:pt idx="36">
                  <c:v>0.884</c:v>
                </c:pt>
                <c:pt idx="37">
                  <c:v>0.879</c:v>
                </c:pt>
                <c:pt idx="38">
                  <c:v>0.878</c:v>
                </c:pt>
                <c:pt idx="39">
                  <c:v>0.876</c:v>
                </c:pt>
                <c:pt idx="40">
                  <c:v>0.876</c:v>
                </c:pt>
                <c:pt idx="41">
                  <c:v>0.876</c:v>
                </c:pt>
                <c:pt idx="42">
                  <c:v>0.876</c:v>
                </c:pt>
                <c:pt idx="43">
                  <c:v>0.876</c:v>
                </c:pt>
                <c:pt idx="44">
                  <c:v>0.875</c:v>
                </c:pt>
                <c:pt idx="45">
                  <c:v>0.875</c:v>
                </c:pt>
                <c:pt idx="46">
                  <c:v>0.875</c:v>
                </c:pt>
                <c:pt idx="47">
                  <c:v>0.873</c:v>
                </c:pt>
                <c:pt idx="48">
                  <c:v>0.871</c:v>
                </c:pt>
                <c:pt idx="49">
                  <c:v>0.871</c:v>
                </c:pt>
                <c:pt idx="50">
                  <c:v>0.869</c:v>
                </c:pt>
                <c:pt idx="51">
                  <c:v>0.869</c:v>
                </c:pt>
                <c:pt idx="52">
                  <c:v>0.866</c:v>
                </c:pt>
                <c:pt idx="53">
                  <c:v>0.866</c:v>
                </c:pt>
                <c:pt idx="54">
                  <c:v>0.865</c:v>
                </c:pt>
                <c:pt idx="55">
                  <c:v>0.864</c:v>
                </c:pt>
                <c:pt idx="56">
                  <c:v>0.863</c:v>
                </c:pt>
                <c:pt idx="57">
                  <c:v>0.863</c:v>
                </c:pt>
                <c:pt idx="58">
                  <c:v>0.86</c:v>
                </c:pt>
                <c:pt idx="59">
                  <c:v>0.849</c:v>
                </c:pt>
                <c:pt idx="60">
                  <c:v>0.845</c:v>
                </c:pt>
              </c:numCache>
            </c:numRef>
          </c:xVal>
          <c:yVal>
            <c:numRef>
              <c:f>'W conifer CH4 (WF,RX) - NOTUSED'!$Y$5:$Y$65</c:f>
              <c:numCache>
                <c:formatCode>General</c:formatCode>
                <c:ptCount val="61"/>
                <c:pt idx="0">
                  <c:v>1.8</c:v>
                </c:pt>
                <c:pt idx="1">
                  <c:v>4.3</c:v>
                </c:pt>
                <c:pt idx="2">
                  <c:v>2.6</c:v>
                </c:pt>
                <c:pt idx="3">
                  <c:v>2.6</c:v>
                </c:pt>
                <c:pt idx="4">
                  <c:v>4.3</c:v>
                </c:pt>
                <c:pt idx="5">
                  <c:v>4.5</c:v>
                </c:pt>
                <c:pt idx="6">
                  <c:v>4.4</c:v>
                </c:pt>
                <c:pt idx="7">
                  <c:v>4.95</c:v>
                </c:pt>
                <c:pt idx="8">
                  <c:v>4.5</c:v>
                </c:pt>
                <c:pt idx="9">
                  <c:v>6.32</c:v>
                </c:pt>
                <c:pt idx="10">
                  <c:v>5.51</c:v>
                </c:pt>
                <c:pt idx="11">
                  <c:v>5.27</c:v>
                </c:pt>
                <c:pt idx="12">
                  <c:v>5.15</c:v>
                </c:pt>
                <c:pt idx="13">
                  <c:v>5.68</c:v>
                </c:pt>
                <c:pt idx="14">
                  <c:v>5.87</c:v>
                </c:pt>
                <c:pt idx="15">
                  <c:v>6.31</c:v>
                </c:pt>
                <c:pt idx="16">
                  <c:v>6.03</c:v>
                </c:pt>
                <c:pt idx="17">
                  <c:v>5.65</c:v>
                </c:pt>
                <c:pt idx="18">
                  <c:v>6.28</c:v>
                </c:pt>
                <c:pt idx="19">
                  <c:v>6.55</c:v>
                </c:pt>
                <c:pt idx="20">
                  <c:v>6.2</c:v>
                </c:pt>
                <c:pt idx="21">
                  <c:v>6.53</c:v>
                </c:pt>
                <c:pt idx="22">
                  <c:v>6.39</c:v>
                </c:pt>
                <c:pt idx="23">
                  <c:v>7.05</c:v>
                </c:pt>
                <c:pt idx="24">
                  <c:v>6.62</c:v>
                </c:pt>
                <c:pt idx="25">
                  <c:v>6.23</c:v>
                </c:pt>
                <c:pt idx="26">
                  <c:v>6.74</c:v>
                </c:pt>
                <c:pt idx="27">
                  <c:v>6.8</c:v>
                </c:pt>
                <c:pt idx="28">
                  <c:v>7.57</c:v>
                </c:pt>
                <c:pt idx="29">
                  <c:v>6.769999999999999</c:v>
                </c:pt>
                <c:pt idx="30">
                  <c:v>7.76</c:v>
                </c:pt>
                <c:pt idx="31">
                  <c:v>6.8</c:v>
                </c:pt>
                <c:pt idx="32">
                  <c:v>7.15</c:v>
                </c:pt>
                <c:pt idx="33">
                  <c:v>7.74</c:v>
                </c:pt>
                <c:pt idx="34">
                  <c:v>7.18</c:v>
                </c:pt>
                <c:pt idx="35">
                  <c:v>6.65</c:v>
                </c:pt>
                <c:pt idx="36">
                  <c:v>7.83</c:v>
                </c:pt>
                <c:pt idx="37">
                  <c:v>6.41</c:v>
                </c:pt>
                <c:pt idx="38">
                  <c:v>7.36</c:v>
                </c:pt>
                <c:pt idx="39">
                  <c:v>7.34</c:v>
                </c:pt>
                <c:pt idx="40">
                  <c:v>7.2</c:v>
                </c:pt>
                <c:pt idx="41">
                  <c:v>9.62</c:v>
                </c:pt>
                <c:pt idx="42">
                  <c:v>7.69</c:v>
                </c:pt>
                <c:pt idx="43">
                  <c:v>7.78</c:v>
                </c:pt>
                <c:pt idx="44">
                  <c:v>8.09</c:v>
                </c:pt>
                <c:pt idx="45">
                  <c:v>7.07</c:v>
                </c:pt>
                <c:pt idx="46">
                  <c:v>9.5</c:v>
                </c:pt>
                <c:pt idx="47">
                  <c:v>7.46</c:v>
                </c:pt>
                <c:pt idx="48">
                  <c:v>8.53</c:v>
                </c:pt>
                <c:pt idx="49">
                  <c:v>7.7</c:v>
                </c:pt>
                <c:pt idx="50">
                  <c:v>8.710000000000001</c:v>
                </c:pt>
                <c:pt idx="51">
                  <c:v>9.0</c:v>
                </c:pt>
                <c:pt idx="52">
                  <c:v>8.57</c:v>
                </c:pt>
                <c:pt idx="53">
                  <c:v>8.130000000000001</c:v>
                </c:pt>
                <c:pt idx="54">
                  <c:v>8.65</c:v>
                </c:pt>
                <c:pt idx="55">
                  <c:v>8.52</c:v>
                </c:pt>
                <c:pt idx="56">
                  <c:v>8.17</c:v>
                </c:pt>
                <c:pt idx="57">
                  <c:v>8.140000000000001</c:v>
                </c:pt>
                <c:pt idx="58">
                  <c:v>8.4</c:v>
                </c:pt>
                <c:pt idx="59">
                  <c:v>12.09</c:v>
                </c:pt>
                <c:pt idx="60">
                  <c:v>9.46</c:v>
                </c:pt>
              </c:numCache>
            </c:numRef>
          </c:yVal>
          <c:smooth val="0"/>
        </c:ser>
        <c:ser>
          <c:idx val="1"/>
          <c:order val="1"/>
          <c:tx>
            <c:v>RX</c:v>
          </c:tx>
          <c:spPr>
            <a:ln w="47625">
              <a:noFill/>
            </a:ln>
          </c:spPr>
          <c:xVal>
            <c:numRef>
              <c:f>'W conifer CH4 (WF,RX) - NOTUSED'!$X$69:$X$98</c:f>
              <c:numCache>
                <c:formatCode>General</c:formatCode>
                <c:ptCount val="30"/>
                <c:pt idx="0">
                  <c:v>0.98</c:v>
                </c:pt>
                <c:pt idx="1">
                  <c:v>0.97</c:v>
                </c:pt>
                <c:pt idx="2">
                  <c:v>0.959</c:v>
                </c:pt>
                <c:pt idx="3">
                  <c:v>0.95</c:v>
                </c:pt>
                <c:pt idx="4">
                  <c:v>0.948400973</c:v>
                </c:pt>
                <c:pt idx="5">
                  <c:v>0.938367615</c:v>
                </c:pt>
                <c:pt idx="6">
                  <c:v>0.934</c:v>
                </c:pt>
                <c:pt idx="7">
                  <c:v>0.931630827</c:v>
                </c:pt>
                <c:pt idx="8">
                  <c:v>0.92572143</c:v>
                </c:pt>
                <c:pt idx="9">
                  <c:v>0.924018379</c:v>
                </c:pt>
                <c:pt idx="10">
                  <c:v>0.92372757</c:v>
                </c:pt>
                <c:pt idx="11">
                  <c:v>0.92</c:v>
                </c:pt>
                <c:pt idx="12">
                  <c:v>0.92</c:v>
                </c:pt>
                <c:pt idx="13">
                  <c:v>0.918659298</c:v>
                </c:pt>
                <c:pt idx="14">
                  <c:v>0.918314079</c:v>
                </c:pt>
                <c:pt idx="15">
                  <c:v>0.918096547</c:v>
                </c:pt>
                <c:pt idx="16">
                  <c:v>0.916377434</c:v>
                </c:pt>
                <c:pt idx="17">
                  <c:v>0.916377434</c:v>
                </c:pt>
                <c:pt idx="18">
                  <c:v>0.916200701</c:v>
                </c:pt>
                <c:pt idx="19">
                  <c:v>0.915</c:v>
                </c:pt>
                <c:pt idx="20">
                  <c:v>0.914260534</c:v>
                </c:pt>
                <c:pt idx="21">
                  <c:v>0.913</c:v>
                </c:pt>
                <c:pt idx="22">
                  <c:v>0.910481924</c:v>
                </c:pt>
                <c:pt idx="23">
                  <c:v>0.909936387</c:v>
                </c:pt>
                <c:pt idx="24">
                  <c:v>0.906</c:v>
                </c:pt>
                <c:pt idx="25">
                  <c:v>0.90572358</c:v>
                </c:pt>
                <c:pt idx="26">
                  <c:v>0.903989899</c:v>
                </c:pt>
                <c:pt idx="27">
                  <c:v>0.899803923</c:v>
                </c:pt>
                <c:pt idx="28">
                  <c:v>0.889626457</c:v>
                </c:pt>
                <c:pt idx="29">
                  <c:v>0.885</c:v>
                </c:pt>
              </c:numCache>
            </c:numRef>
          </c:xVal>
          <c:yVal>
            <c:numRef>
              <c:f>'W conifer CH4 (WF,RX) - NOTUSED'!$Y$69:$Y$98</c:f>
              <c:numCache>
                <c:formatCode>General</c:formatCode>
                <c:ptCount val="30"/>
                <c:pt idx="0">
                  <c:v>1.197</c:v>
                </c:pt>
                <c:pt idx="1">
                  <c:v>1.939</c:v>
                </c:pt>
                <c:pt idx="2" formatCode="0.000">
                  <c:v>1.208</c:v>
                </c:pt>
                <c:pt idx="3">
                  <c:v>2.664</c:v>
                </c:pt>
                <c:pt idx="4" formatCode="0.00">
                  <c:v>1.620187928</c:v>
                </c:pt>
                <c:pt idx="5" formatCode="0.00">
                  <c:v>2.493802222</c:v>
                </c:pt>
                <c:pt idx="6" formatCode="0.00">
                  <c:v>3.998</c:v>
                </c:pt>
                <c:pt idx="7" formatCode="0.00">
                  <c:v>2.28618581</c:v>
                </c:pt>
                <c:pt idx="8" formatCode="0.00">
                  <c:v>3.324772858</c:v>
                </c:pt>
                <c:pt idx="9" formatCode="0.00">
                  <c:v>2.264151647</c:v>
                </c:pt>
                <c:pt idx="10" formatCode="0.00">
                  <c:v>3.124726632</c:v>
                </c:pt>
                <c:pt idx="11" formatCode="0.0">
                  <c:v>4.2</c:v>
                </c:pt>
                <c:pt idx="12" formatCode="0.0">
                  <c:v>3.2</c:v>
                </c:pt>
                <c:pt idx="13" formatCode="0.00">
                  <c:v>3.529741164</c:v>
                </c:pt>
                <c:pt idx="14" formatCode="0.00">
                  <c:v>4.384650721</c:v>
                </c:pt>
                <c:pt idx="15" formatCode="0.00">
                  <c:v>3.525502308</c:v>
                </c:pt>
                <c:pt idx="16" formatCode="0.00">
                  <c:v>3.221598467</c:v>
                </c:pt>
                <c:pt idx="17" formatCode="0.00">
                  <c:v>3.221598467</c:v>
                </c:pt>
                <c:pt idx="18" formatCode="0.00">
                  <c:v>4.01</c:v>
                </c:pt>
                <c:pt idx="19" formatCode="0.0">
                  <c:v>3.7</c:v>
                </c:pt>
                <c:pt idx="20" formatCode="0.00">
                  <c:v>4.016830112</c:v>
                </c:pt>
                <c:pt idx="21" formatCode="0.00">
                  <c:v>5.51</c:v>
                </c:pt>
                <c:pt idx="22" formatCode="0.00">
                  <c:v>4.36623183</c:v>
                </c:pt>
                <c:pt idx="23" formatCode="0.00">
                  <c:v>4.435575993</c:v>
                </c:pt>
                <c:pt idx="24" formatCode="0.0">
                  <c:v>4.1</c:v>
                </c:pt>
                <c:pt idx="25" formatCode="0.00">
                  <c:v>3.848343508</c:v>
                </c:pt>
                <c:pt idx="26" formatCode="0.00">
                  <c:v>3.259641191</c:v>
                </c:pt>
                <c:pt idx="27" formatCode="0.00">
                  <c:v>5.23</c:v>
                </c:pt>
                <c:pt idx="28" formatCode="0.00">
                  <c:v>4.862811429</c:v>
                </c:pt>
                <c:pt idx="29" formatCode="0.00">
                  <c:v>7.94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965352"/>
        <c:axId val="-2114968408"/>
      </c:scatterChart>
      <c:valAx>
        <c:axId val="-211496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4968408"/>
        <c:crosses val="autoZero"/>
        <c:crossBetween val="midCat"/>
      </c:valAx>
      <c:valAx>
        <c:axId val="-2114968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4965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'CO2'!$X$175:$X$188</c:f>
              <c:numCache>
                <c:formatCode>General</c:formatCode>
                <c:ptCount val="14"/>
                <c:pt idx="0">
                  <c:v>0.96</c:v>
                </c:pt>
                <c:pt idx="1">
                  <c:v>0.953</c:v>
                </c:pt>
                <c:pt idx="2">
                  <c:v>0.95</c:v>
                </c:pt>
                <c:pt idx="3">
                  <c:v>0.947</c:v>
                </c:pt>
                <c:pt idx="4">
                  <c:v>0.943</c:v>
                </c:pt>
                <c:pt idx="5">
                  <c:v>0.938</c:v>
                </c:pt>
                <c:pt idx="6">
                  <c:v>0.935</c:v>
                </c:pt>
                <c:pt idx="7">
                  <c:v>0.933</c:v>
                </c:pt>
                <c:pt idx="8">
                  <c:v>0.933</c:v>
                </c:pt>
                <c:pt idx="9">
                  <c:v>0.93</c:v>
                </c:pt>
                <c:pt idx="10">
                  <c:v>0.921</c:v>
                </c:pt>
                <c:pt idx="11">
                  <c:v>0.915</c:v>
                </c:pt>
                <c:pt idx="12">
                  <c:v>0.857</c:v>
                </c:pt>
                <c:pt idx="13">
                  <c:v>0.842</c:v>
                </c:pt>
              </c:numCache>
            </c:numRef>
          </c:xVal>
          <c:yVal>
            <c:numRef>
              <c:f>'CO2'!$Y$175:$Y$188</c:f>
              <c:numCache>
                <c:formatCode>General</c:formatCode>
                <c:ptCount val="14"/>
                <c:pt idx="0">
                  <c:v>1903.0</c:v>
                </c:pt>
                <c:pt idx="1">
                  <c:v>1874.0</c:v>
                </c:pt>
                <c:pt idx="2">
                  <c:v>1827.0</c:v>
                </c:pt>
                <c:pt idx="3" formatCode="0">
                  <c:v>1868.0</c:v>
                </c:pt>
                <c:pt idx="4" formatCode="0">
                  <c:v>1682.673587</c:v>
                </c:pt>
                <c:pt idx="5" formatCode="0">
                  <c:v>1695.085794</c:v>
                </c:pt>
                <c:pt idx="6" formatCode="0">
                  <c:v>1681.773116</c:v>
                </c:pt>
                <c:pt idx="7" formatCode="0">
                  <c:v>1678.0</c:v>
                </c:pt>
                <c:pt idx="8" formatCode="0">
                  <c:v>1665.432807</c:v>
                </c:pt>
                <c:pt idx="9">
                  <c:v>1766.0</c:v>
                </c:pt>
                <c:pt idx="10" formatCode="0">
                  <c:v>1652.466658</c:v>
                </c:pt>
                <c:pt idx="11" formatCode="0">
                  <c:v>1622.0</c:v>
                </c:pt>
                <c:pt idx="12" formatCode="0">
                  <c:v>1096.0</c:v>
                </c:pt>
                <c:pt idx="13" formatCode="0">
                  <c:v>1825.0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776008"/>
        <c:axId val="-2113779048"/>
      </c:scatterChart>
      <c:valAx>
        <c:axId val="-211377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3779048"/>
        <c:crosses val="autoZero"/>
        <c:crossBetween val="midCat"/>
      </c:valAx>
      <c:valAx>
        <c:axId val="-2113779048"/>
        <c:scaling>
          <c:orientation val="minMax"/>
          <c:min val="1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3776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'CO2'!$X$440:$X$461</c:f>
              <c:numCache>
                <c:formatCode>General</c:formatCode>
                <c:ptCount val="22"/>
                <c:pt idx="0">
                  <c:v>0.8474</c:v>
                </c:pt>
                <c:pt idx="1">
                  <c:v>0.8528</c:v>
                </c:pt>
                <c:pt idx="2">
                  <c:v>0.899</c:v>
                </c:pt>
                <c:pt idx="3">
                  <c:v>0.901</c:v>
                </c:pt>
                <c:pt idx="4">
                  <c:v>0.903</c:v>
                </c:pt>
                <c:pt idx="5">
                  <c:v>0.909</c:v>
                </c:pt>
                <c:pt idx="6">
                  <c:v>0.913</c:v>
                </c:pt>
                <c:pt idx="7">
                  <c:v>0.914</c:v>
                </c:pt>
                <c:pt idx="8">
                  <c:v>0.9148</c:v>
                </c:pt>
                <c:pt idx="9">
                  <c:v>0.9148</c:v>
                </c:pt>
                <c:pt idx="10">
                  <c:v>0.933</c:v>
                </c:pt>
                <c:pt idx="11">
                  <c:v>0.9368</c:v>
                </c:pt>
                <c:pt idx="12">
                  <c:v>0.938</c:v>
                </c:pt>
                <c:pt idx="13">
                  <c:v>0.939</c:v>
                </c:pt>
                <c:pt idx="14">
                  <c:v>0.939</c:v>
                </c:pt>
                <c:pt idx="15">
                  <c:v>0.94</c:v>
                </c:pt>
                <c:pt idx="16">
                  <c:v>0.944</c:v>
                </c:pt>
                <c:pt idx="17">
                  <c:v>0.946</c:v>
                </c:pt>
                <c:pt idx="18">
                  <c:v>0.947</c:v>
                </c:pt>
                <c:pt idx="19">
                  <c:v>0.948</c:v>
                </c:pt>
                <c:pt idx="20">
                  <c:v>0.95</c:v>
                </c:pt>
                <c:pt idx="21">
                  <c:v>0.952</c:v>
                </c:pt>
              </c:numCache>
            </c:numRef>
          </c:xVal>
          <c:yVal>
            <c:numRef>
              <c:f>'CO2'!$Y$440:$Y$461</c:f>
              <c:numCache>
                <c:formatCode>General</c:formatCode>
                <c:ptCount val="22"/>
                <c:pt idx="0">
                  <c:v>1555.0</c:v>
                </c:pt>
                <c:pt idx="1">
                  <c:v>1569.95</c:v>
                </c:pt>
                <c:pt idx="2" formatCode="0">
                  <c:v>1471.0</c:v>
                </c:pt>
                <c:pt idx="3">
                  <c:v>1653.4</c:v>
                </c:pt>
                <c:pt idx="4" formatCode="0">
                  <c:v>1603.0</c:v>
                </c:pt>
                <c:pt idx="5" formatCode="0">
                  <c:v>1538.0</c:v>
                </c:pt>
                <c:pt idx="6" formatCode="0">
                  <c:v>1623.0</c:v>
                </c:pt>
                <c:pt idx="7" formatCode="0">
                  <c:v>1562.0</c:v>
                </c:pt>
                <c:pt idx="8">
                  <c:v>1678.7</c:v>
                </c:pt>
                <c:pt idx="9">
                  <c:v>1678.7</c:v>
                </c:pt>
                <c:pt idx="10" formatCode="0">
                  <c:v>1666.0</c:v>
                </c:pt>
                <c:pt idx="11">
                  <c:v>1719.1</c:v>
                </c:pt>
                <c:pt idx="12" formatCode="0">
                  <c:v>1679.0</c:v>
                </c:pt>
                <c:pt idx="13">
                  <c:v>1801.0</c:v>
                </c:pt>
                <c:pt idx="14">
                  <c:v>1724.0</c:v>
                </c:pt>
                <c:pt idx="15">
                  <c:v>1876.0</c:v>
                </c:pt>
                <c:pt idx="16">
                  <c:v>1739.0</c:v>
                </c:pt>
                <c:pt idx="17">
                  <c:v>1762.0</c:v>
                </c:pt>
                <c:pt idx="18" formatCode="0">
                  <c:v>1705.0</c:v>
                </c:pt>
                <c:pt idx="19">
                  <c:v>1837.0</c:v>
                </c:pt>
                <c:pt idx="20" formatCode="0">
                  <c:v>1709.0</c:v>
                </c:pt>
                <c:pt idx="21">
                  <c:v>1769.0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803864"/>
        <c:axId val="-2113806888"/>
      </c:scatterChart>
      <c:valAx>
        <c:axId val="-211380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3806888"/>
        <c:crosses val="autoZero"/>
        <c:crossBetween val="midCat"/>
      </c:valAx>
      <c:valAx>
        <c:axId val="-2113806888"/>
        <c:scaling>
          <c:orientation val="minMax"/>
          <c:min val="1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3803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'CO2'!$X$410:$X$438</c:f>
              <c:numCache>
                <c:formatCode>General</c:formatCode>
                <c:ptCount val="29"/>
                <c:pt idx="0">
                  <c:v>0.94</c:v>
                </c:pt>
                <c:pt idx="1">
                  <c:v>0.971</c:v>
                </c:pt>
                <c:pt idx="2">
                  <c:v>0.953</c:v>
                </c:pt>
                <c:pt idx="3">
                  <c:v>0.965</c:v>
                </c:pt>
                <c:pt idx="4">
                  <c:v>0.936</c:v>
                </c:pt>
                <c:pt idx="5">
                  <c:v>0.943</c:v>
                </c:pt>
                <c:pt idx="6">
                  <c:v>0.909</c:v>
                </c:pt>
                <c:pt idx="7">
                  <c:v>0.946</c:v>
                </c:pt>
                <c:pt idx="8">
                  <c:v>0.94</c:v>
                </c:pt>
                <c:pt idx="9">
                  <c:v>0.912</c:v>
                </c:pt>
                <c:pt idx="10">
                  <c:v>0.919</c:v>
                </c:pt>
                <c:pt idx="11">
                  <c:v>0.932</c:v>
                </c:pt>
                <c:pt idx="12">
                  <c:v>0.887</c:v>
                </c:pt>
                <c:pt idx="13">
                  <c:v>0.799</c:v>
                </c:pt>
                <c:pt idx="14">
                  <c:v>0.811</c:v>
                </c:pt>
                <c:pt idx="15">
                  <c:v>0.8</c:v>
                </c:pt>
                <c:pt idx="16">
                  <c:v>0.8</c:v>
                </c:pt>
                <c:pt idx="17">
                  <c:v>0.812</c:v>
                </c:pt>
                <c:pt idx="18">
                  <c:v>0.599</c:v>
                </c:pt>
                <c:pt idx="19">
                  <c:v>0.799</c:v>
                </c:pt>
                <c:pt idx="20">
                  <c:v>0.795</c:v>
                </c:pt>
                <c:pt idx="21">
                  <c:v>0.816</c:v>
                </c:pt>
                <c:pt idx="22">
                  <c:v>0.817</c:v>
                </c:pt>
                <c:pt idx="23">
                  <c:v>0.864</c:v>
                </c:pt>
                <c:pt idx="24">
                  <c:v>0.841</c:v>
                </c:pt>
                <c:pt idx="25">
                  <c:v>0.84</c:v>
                </c:pt>
                <c:pt idx="26">
                  <c:v>0.81</c:v>
                </c:pt>
                <c:pt idx="27">
                  <c:v>0.881</c:v>
                </c:pt>
                <c:pt idx="28">
                  <c:v>0.829</c:v>
                </c:pt>
              </c:numCache>
            </c:numRef>
          </c:xVal>
          <c:yVal>
            <c:numRef>
              <c:f>'CO2'!$Y$410:$Y$438</c:f>
              <c:numCache>
                <c:formatCode>General</c:formatCode>
                <c:ptCount val="29"/>
                <c:pt idx="0" formatCode="0">
                  <c:v>1681.0</c:v>
                </c:pt>
                <c:pt idx="1">
                  <c:v>1733.0</c:v>
                </c:pt>
                <c:pt idx="2" formatCode="0">
                  <c:v>1716.621425</c:v>
                </c:pt>
                <c:pt idx="3">
                  <c:v>1786.0</c:v>
                </c:pt>
                <c:pt idx="4" formatCode="0">
                  <c:v>1684.308112</c:v>
                </c:pt>
                <c:pt idx="5">
                  <c:v>1730.0</c:v>
                </c:pt>
                <c:pt idx="6">
                  <c:v>1668.0</c:v>
                </c:pt>
                <c:pt idx="7">
                  <c:v>1736.0</c:v>
                </c:pt>
                <c:pt idx="8">
                  <c:v>1725.0</c:v>
                </c:pt>
                <c:pt idx="9">
                  <c:v>1674.0</c:v>
                </c:pt>
                <c:pt idx="10">
                  <c:v>1687.0</c:v>
                </c:pt>
                <c:pt idx="11">
                  <c:v>1710.0</c:v>
                </c:pt>
                <c:pt idx="12">
                  <c:v>1627.0</c:v>
                </c:pt>
                <c:pt idx="13">
                  <c:v>1466.0</c:v>
                </c:pt>
                <c:pt idx="14">
                  <c:v>1488.0</c:v>
                </c:pt>
                <c:pt idx="15">
                  <c:v>1468.0</c:v>
                </c:pt>
                <c:pt idx="16">
                  <c:v>1468.0</c:v>
                </c:pt>
                <c:pt idx="17">
                  <c:v>1489.0</c:v>
                </c:pt>
                <c:pt idx="18">
                  <c:v>1098.0</c:v>
                </c:pt>
                <c:pt idx="19">
                  <c:v>1465.0</c:v>
                </c:pt>
                <c:pt idx="20">
                  <c:v>1460.0</c:v>
                </c:pt>
                <c:pt idx="21">
                  <c:v>1498.0</c:v>
                </c:pt>
                <c:pt idx="22">
                  <c:v>1498.0</c:v>
                </c:pt>
                <c:pt idx="23">
                  <c:v>1586.0</c:v>
                </c:pt>
                <c:pt idx="24">
                  <c:v>1543.0</c:v>
                </c:pt>
                <c:pt idx="25">
                  <c:v>1541.0</c:v>
                </c:pt>
                <c:pt idx="26">
                  <c:v>1486.0</c:v>
                </c:pt>
                <c:pt idx="27">
                  <c:v>1617.0</c:v>
                </c:pt>
                <c:pt idx="28">
                  <c:v>1522.0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831864"/>
        <c:axId val="-2113834888"/>
      </c:scatterChart>
      <c:valAx>
        <c:axId val="-2113831864"/>
        <c:scaling>
          <c:orientation val="minMax"/>
          <c:max val="1.0"/>
          <c:min val="0.5"/>
        </c:scaling>
        <c:delete val="0"/>
        <c:axPos val="b"/>
        <c:numFmt formatCode="General" sourceLinked="1"/>
        <c:majorTickMark val="out"/>
        <c:minorTickMark val="none"/>
        <c:tickLblPos val="nextTo"/>
        <c:crossAx val="-2113834888"/>
        <c:crosses val="autoZero"/>
        <c:crossBetween val="midCat"/>
      </c:valAx>
      <c:valAx>
        <c:axId val="-2113834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13831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'CO2'!$X$207:$X$383</c:f>
              <c:numCache>
                <c:formatCode>General</c:formatCode>
                <c:ptCount val="177"/>
                <c:pt idx="0">
                  <c:v>0.98</c:v>
                </c:pt>
                <c:pt idx="1">
                  <c:v>0.98</c:v>
                </c:pt>
                <c:pt idx="2">
                  <c:v>0.972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0.96</c:v>
                </c:pt>
                <c:pt idx="7">
                  <c:v>0.959</c:v>
                </c:pt>
                <c:pt idx="8">
                  <c:v>0.951</c:v>
                </c:pt>
                <c:pt idx="9">
                  <c:v>0.95</c:v>
                </c:pt>
                <c:pt idx="10">
                  <c:v>0.95</c:v>
                </c:pt>
                <c:pt idx="11">
                  <c:v>0.949</c:v>
                </c:pt>
                <c:pt idx="12">
                  <c:v>0.948400973</c:v>
                </c:pt>
                <c:pt idx="13">
                  <c:v>0.947</c:v>
                </c:pt>
                <c:pt idx="14">
                  <c:v>0.942</c:v>
                </c:pt>
                <c:pt idx="15">
                  <c:v>0.941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0.938367615</c:v>
                </c:pt>
                <c:pt idx="22">
                  <c:v>0.936</c:v>
                </c:pt>
                <c:pt idx="23">
                  <c:v>0.935</c:v>
                </c:pt>
                <c:pt idx="24">
                  <c:v>0.934</c:v>
                </c:pt>
                <c:pt idx="25">
                  <c:v>0.933</c:v>
                </c:pt>
                <c:pt idx="26">
                  <c:v>0.931630827</c:v>
                </c:pt>
                <c:pt idx="27">
                  <c:v>0.93</c:v>
                </c:pt>
                <c:pt idx="28">
                  <c:v>0.93</c:v>
                </c:pt>
                <c:pt idx="29">
                  <c:v>0.93</c:v>
                </c:pt>
                <c:pt idx="30">
                  <c:v>0.928</c:v>
                </c:pt>
                <c:pt idx="31">
                  <c:v>0.92572143</c:v>
                </c:pt>
                <c:pt idx="32">
                  <c:v>0.925</c:v>
                </c:pt>
                <c:pt idx="33">
                  <c:v>0.924018379</c:v>
                </c:pt>
                <c:pt idx="34">
                  <c:v>0.92372757</c:v>
                </c:pt>
                <c:pt idx="35">
                  <c:v>0.923</c:v>
                </c:pt>
                <c:pt idx="36">
                  <c:v>0.92</c:v>
                </c:pt>
                <c:pt idx="37">
                  <c:v>0.92</c:v>
                </c:pt>
                <c:pt idx="38">
                  <c:v>0.918659298</c:v>
                </c:pt>
                <c:pt idx="39">
                  <c:v>0.918314079</c:v>
                </c:pt>
                <c:pt idx="40">
                  <c:v>0.918096547</c:v>
                </c:pt>
                <c:pt idx="41">
                  <c:v>0.918</c:v>
                </c:pt>
                <c:pt idx="42">
                  <c:v>0.916377434</c:v>
                </c:pt>
                <c:pt idx="43">
                  <c:v>0.916377434</c:v>
                </c:pt>
                <c:pt idx="44">
                  <c:v>0.916200701</c:v>
                </c:pt>
                <c:pt idx="45">
                  <c:v>0.916</c:v>
                </c:pt>
                <c:pt idx="46">
                  <c:v>0.915</c:v>
                </c:pt>
                <c:pt idx="47">
                  <c:v>0.914260534</c:v>
                </c:pt>
                <c:pt idx="48">
                  <c:v>0.914</c:v>
                </c:pt>
                <c:pt idx="49">
                  <c:v>0.913</c:v>
                </c:pt>
                <c:pt idx="50">
                  <c:v>0.910481924</c:v>
                </c:pt>
                <c:pt idx="51">
                  <c:v>0.91</c:v>
                </c:pt>
                <c:pt idx="52">
                  <c:v>0.91</c:v>
                </c:pt>
                <c:pt idx="53">
                  <c:v>0.909936387</c:v>
                </c:pt>
                <c:pt idx="54">
                  <c:v>0.906</c:v>
                </c:pt>
                <c:pt idx="55">
                  <c:v>0.90572358</c:v>
                </c:pt>
                <c:pt idx="56">
                  <c:v>0.904</c:v>
                </c:pt>
                <c:pt idx="57">
                  <c:v>0.903989899</c:v>
                </c:pt>
                <c:pt idx="58">
                  <c:v>0.903</c:v>
                </c:pt>
                <c:pt idx="59">
                  <c:v>0.903</c:v>
                </c:pt>
                <c:pt idx="60">
                  <c:v>0.902</c:v>
                </c:pt>
                <c:pt idx="61">
                  <c:v>0.902</c:v>
                </c:pt>
                <c:pt idx="62">
                  <c:v>0.901</c:v>
                </c:pt>
                <c:pt idx="63">
                  <c:v>0.901</c:v>
                </c:pt>
                <c:pt idx="64">
                  <c:v>0.901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0.9</c:v>
                </c:pt>
                <c:pt idx="72">
                  <c:v>0.899803923</c:v>
                </c:pt>
                <c:pt idx="73">
                  <c:v>0.899</c:v>
                </c:pt>
                <c:pt idx="74">
                  <c:v>0.898</c:v>
                </c:pt>
                <c:pt idx="75">
                  <c:v>0.897</c:v>
                </c:pt>
                <c:pt idx="76">
                  <c:v>0.895</c:v>
                </c:pt>
                <c:pt idx="77">
                  <c:v>0.895</c:v>
                </c:pt>
                <c:pt idx="78">
                  <c:v>0.894</c:v>
                </c:pt>
                <c:pt idx="79">
                  <c:v>0.893</c:v>
                </c:pt>
                <c:pt idx="80">
                  <c:v>0.892</c:v>
                </c:pt>
                <c:pt idx="81">
                  <c:v>0.892</c:v>
                </c:pt>
                <c:pt idx="82">
                  <c:v>0.89</c:v>
                </c:pt>
                <c:pt idx="83">
                  <c:v>0.89</c:v>
                </c:pt>
                <c:pt idx="84">
                  <c:v>0.89</c:v>
                </c:pt>
                <c:pt idx="85">
                  <c:v>0.89</c:v>
                </c:pt>
                <c:pt idx="86">
                  <c:v>0.89</c:v>
                </c:pt>
                <c:pt idx="87">
                  <c:v>0.89</c:v>
                </c:pt>
                <c:pt idx="88">
                  <c:v>0.89</c:v>
                </c:pt>
                <c:pt idx="89">
                  <c:v>0.89</c:v>
                </c:pt>
                <c:pt idx="90">
                  <c:v>0.889626457</c:v>
                </c:pt>
                <c:pt idx="91">
                  <c:v>0.889</c:v>
                </c:pt>
                <c:pt idx="92">
                  <c:v>0.889</c:v>
                </c:pt>
                <c:pt idx="93">
                  <c:v>0.886</c:v>
                </c:pt>
                <c:pt idx="94">
                  <c:v>0.886</c:v>
                </c:pt>
                <c:pt idx="95">
                  <c:v>0.885</c:v>
                </c:pt>
                <c:pt idx="96">
                  <c:v>0.885</c:v>
                </c:pt>
                <c:pt idx="97">
                  <c:v>0.885</c:v>
                </c:pt>
                <c:pt idx="98">
                  <c:v>0.884</c:v>
                </c:pt>
                <c:pt idx="99">
                  <c:v>0.884</c:v>
                </c:pt>
                <c:pt idx="100">
                  <c:v>0.882</c:v>
                </c:pt>
                <c:pt idx="101">
                  <c:v>0.88</c:v>
                </c:pt>
                <c:pt idx="102">
                  <c:v>0.88</c:v>
                </c:pt>
                <c:pt idx="103">
                  <c:v>0.88</c:v>
                </c:pt>
                <c:pt idx="104">
                  <c:v>0.879</c:v>
                </c:pt>
                <c:pt idx="105">
                  <c:v>0.878</c:v>
                </c:pt>
                <c:pt idx="106">
                  <c:v>0.876</c:v>
                </c:pt>
                <c:pt idx="107">
                  <c:v>0.876</c:v>
                </c:pt>
                <c:pt idx="108">
                  <c:v>0.876</c:v>
                </c:pt>
                <c:pt idx="109">
                  <c:v>0.876</c:v>
                </c:pt>
                <c:pt idx="110">
                  <c:v>0.876</c:v>
                </c:pt>
                <c:pt idx="111">
                  <c:v>0.875</c:v>
                </c:pt>
                <c:pt idx="112">
                  <c:v>0.875</c:v>
                </c:pt>
                <c:pt idx="113">
                  <c:v>0.875</c:v>
                </c:pt>
                <c:pt idx="114">
                  <c:v>0.873</c:v>
                </c:pt>
                <c:pt idx="115">
                  <c:v>0.871</c:v>
                </c:pt>
                <c:pt idx="116">
                  <c:v>0.871</c:v>
                </c:pt>
                <c:pt idx="117">
                  <c:v>0.87</c:v>
                </c:pt>
                <c:pt idx="118">
                  <c:v>0.869</c:v>
                </c:pt>
                <c:pt idx="119">
                  <c:v>0.869</c:v>
                </c:pt>
                <c:pt idx="120">
                  <c:v>0.866</c:v>
                </c:pt>
                <c:pt idx="121">
                  <c:v>0.866</c:v>
                </c:pt>
                <c:pt idx="122">
                  <c:v>0.865</c:v>
                </c:pt>
                <c:pt idx="123">
                  <c:v>0.864</c:v>
                </c:pt>
                <c:pt idx="124">
                  <c:v>0.863</c:v>
                </c:pt>
                <c:pt idx="125">
                  <c:v>0.863</c:v>
                </c:pt>
                <c:pt idx="126">
                  <c:v>0.86</c:v>
                </c:pt>
                <c:pt idx="127">
                  <c:v>0.854</c:v>
                </c:pt>
                <c:pt idx="128">
                  <c:v>0.85</c:v>
                </c:pt>
                <c:pt idx="129">
                  <c:v>0.85</c:v>
                </c:pt>
                <c:pt idx="130">
                  <c:v>0.849</c:v>
                </c:pt>
                <c:pt idx="131">
                  <c:v>0.847</c:v>
                </c:pt>
                <c:pt idx="132">
                  <c:v>0.846</c:v>
                </c:pt>
                <c:pt idx="133">
                  <c:v>0.845</c:v>
                </c:pt>
                <c:pt idx="134">
                  <c:v>0.842</c:v>
                </c:pt>
                <c:pt idx="135">
                  <c:v>0.841</c:v>
                </c:pt>
                <c:pt idx="136">
                  <c:v>0.841</c:v>
                </c:pt>
                <c:pt idx="137">
                  <c:v>0.841</c:v>
                </c:pt>
                <c:pt idx="138">
                  <c:v>0.84</c:v>
                </c:pt>
                <c:pt idx="139">
                  <c:v>0.84</c:v>
                </c:pt>
                <c:pt idx="140">
                  <c:v>0.832</c:v>
                </c:pt>
                <c:pt idx="141">
                  <c:v>0.83</c:v>
                </c:pt>
                <c:pt idx="142">
                  <c:v>0.822</c:v>
                </c:pt>
                <c:pt idx="143">
                  <c:v>0.822</c:v>
                </c:pt>
                <c:pt idx="144">
                  <c:v>0.816</c:v>
                </c:pt>
                <c:pt idx="145">
                  <c:v>0.814</c:v>
                </c:pt>
                <c:pt idx="146">
                  <c:v>0.813</c:v>
                </c:pt>
                <c:pt idx="147">
                  <c:v>0.81</c:v>
                </c:pt>
                <c:pt idx="148">
                  <c:v>0.81</c:v>
                </c:pt>
                <c:pt idx="149">
                  <c:v>0.805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0.796</c:v>
                </c:pt>
                <c:pt idx="154">
                  <c:v>0.794</c:v>
                </c:pt>
                <c:pt idx="155">
                  <c:v>0.79</c:v>
                </c:pt>
                <c:pt idx="156">
                  <c:v>0.789</c:v>
                </c:pt>
                <c:pt idx="157">
                  <c:v>0.784</c:v>
                </c:pt>
                <c:pt idx="158">
                  <c:v>0.78</c:v>
                </c:pt>
                <c:pt idx="159">
                  <c:v>0.78</c:v>
                </c:pt>
                <c:pt idx="160">
                  <c:v>0.775</c:v>
                </c:pt>
                <c:pt idx="161">
                  <c:v>0.775</c:v>
                </c:pt>
                <c:pt idx="162">
                  <c:v>0.77</c:v>
                </c:pt>
                <c:pt idx="163">
                  <c:v>0.77</c:v>
                </c:pt>
                <c:pt idx="164">
                  <c:v>0.77</c:v>
                </c:pt>
                <c:pt idx="165">
                  <c:v>0.76</c:v>
                </c:pt>
                <c:pt idx="166">
                  <c:v>0.756</c:v>
                </c:pt>
                <c:pt idx="167">
                  <c:v>0.74</c:v>
                </c:pt>
                <c:pt idx="168">
                  <c:v>0.74</c:v>
                </c:pt>
                <c:pt idx="169">
                  <c:v>0.74</c:v>
                </c:pt>
                <c:pt idx="170">
                  <c:v>0.73</c:v>
                </c:pt>
                <c:pt idx="171">
                  <c:v>0.729</c:v>
                </c:pt>
                <c:pt idx="172">
                  <c:v>0.71</c:v>
                </c:pt>
                <c:pt idx="173">
                  <c:v>0.69</c:v>
                </c:pt>
                <c:pt idx="174">
                  <c:v>0.66</c:v>
                </c:pt>
                <c:pt idx="175">
                  <c:v>0.643</c:v>
                </c:pt>
                <c:pt idx="176">
                  <c:v>0.63</c:v>
                </c:pt>
              </c:numCache>
            </c:numRef>
          </c:xVal>
          <c:yVal>
            <c:numRef>
              <c:f>'CO2'!$Y$207:$Y$383</c:f>
              <c:numCache>
                <c:formatCode>General</c:formatCode>
                <c:ptCount val="177"/>
                <c:pt idx="0">
                  <c:v>1932.8</c:v>
                </c:pt>
                <c:pt idx="1">
                  <c:v>1763.1</c:v>
                </c:pt>
                <c:pt idx="2">
                  <c:v>1781.0</c:v>
                </c:pt>
                <c:pt idx="3">
                  <c:v>1781.9</c:v>
                </c:pt>
                <c:pt idx="4">
                  <c:v>1918.8</c:v>
                </c:pt>
                <c:pt idx="5">
                  <c:v>1771.0</c:v>
                </c:pt>
                <c:pt idx="6">
                  <c:v>1751.0</c:v>
                </c:pt>
                <c:pt idx="7" formatCode="0">
                  <c:v>1856.0</c:v>
                </c:pt>
                <c:pt idx="8">
                  <c:v>1745.0</c:v>
                </c:pt>
                <c:pt idx="9">
                  <c:v>1764.9</c:v>
                </c:pt>
                <c:pt idx="10">
                  <c:v>1731.0</c:v>
                </c:pt>
                <c:pt idx="11">
                  <c:v>1739.0</c:v>
                </c:pt>
                <c:pt idx="12" formatCode="0">
                  <c:v>1716.515762</c:v>
                </c:pt>
                <c:pt idx="13">
                  <c:v>1739.0</c:v>
                </c:pt>
                <c:pt idx="14" formatCode="0">
                  <c:v>1692.932292</c:v>
                </c:pt>
                <c:pt idx="15">
                  <c:v>1727.0</c:v>
                </c:pt>
                <c:pt idx="16">
                  <c:v>1720.0</c:v>
                </c:pt>
                <c:pt idx="17">
                  <c:v>1720.0</c:v>
                </c:pt>
                <c:pt idx="18">
                  <c:v>1686.0</c:v>
                </c:pt>
                <c:pt idx="19">
                  <c:v>1706.0</c:v>
                </c:pt>
                <c:pt idx="20">
                  <c:v>1714.0</c:v>
                </c:pt>
                <c:pt idx="21" formatCode="0">
                  <c:v>1677.670457</c:v>
                </c:pt>
                <c:pt idx="22">
                  <c:v>1716.0</c:v>
                </c:pt>
                <c:pt idx="23">
                  <c:v>1716.0</c:v>
                </c:pt>
                <c:pt idx="24" formatCode="0">
                  <c:v>1785.0</c:v>
                </c:pt>
                <c:pt idx="25">
                  <c:v>1711.0</c:v>
                </c:pt>
                <c:pt idx="26" formatCode="0">
                  <c:v>1667.981295</c:v>
                </c:pt>
                <c:pt idx="27">
                  <c:v>1705.0</c:v>
                </c:pt>
                <c:pt idx="28">
                  <c:v>1716.0</c:v>
                </c:pt>
                <c:pt idx="29">
                  <c:v>1677.4</c:v>
                </c:pt>
                <c:pt idx="30">
                  <c:v>1704.0</c:v>
                </c:pt>
                <c:pt idx="31" formatCode="0">
                  <c:v>1649.695015</c:v>
                </c:pt>
                <c:pt idx="32">
                  <c:v>1697.0</c:v>
                </c:pt>
                <c:pt idx="33" formatCode="0">
                  <c:v>1657.959049</c:v>
                </c:pt>
                <c:pt idx="34" formatCode="0">
                  <c:v>1648.326386</c:v>
                </c:pt>
                <c:pt idx="35">
                  <c:v>1681.0</c:v>
                </c:pt>
                <c:pt idx="36" formatCode="0">
                  <c:v>1528.0</c:v>
                </c:pt>
                <c:pt idx="37" formatCode="0">
                  <c:v>1589.0</c:v>
                </c:pt>
                <c:pt idx="38" formatCode="0">
                  <c:v>1638.934535</c:v>
                </c:pt>
                <c:pt idx="39" formatCode="0">
                  <c:v>1640.3191</c:v>
                </c:pt>
                <c:pt idx="40" formatCode="0">
                  <c:v>1639.931004</c:v>
                </c:pt>
                <c:pt idx="41">
                  <c:v>1671.0</c:v>
                </c:pt>
                <c:pt idx="42" formatCode="0">
                  <c:v>1622.282793</c:v>
                </c:pt>
                <c:pt idx="43" formatCode="0">
                  <c:v>1622.282793</c:v>
                </c:pt>
                <c:pt idx="44" formatCode="0">
                  <c:v>1609.4</c:v>
                </c:pt>
                <c:pt idx="45">
                  <c:v>1668.0</c:v>
                </c:pt>
                <c:pt idx="46" formatCode="0">
                  <c:v>1552.0</c:v>
                </c:pt>
                <c:pt idx="47" formatCode="0">
                  <c:v>1632.312898</c:v>
                </c:pt>
                <c:pt idx="48">
                  <c:v>1677.0</c:v>
                </c:pt>
                <c:pt idx="49" formatCode="0">
                  <c:v>1599.0</c:v>
                </c:pt>
                <c:pt idx="50" formatCode="0">
                  <c:v>1607.441636</c:v>
                </c:pt>
                <c:pt idx="51">
                  <c:v>1603.0</c:v>
                </c:pt>
                <c:pt idx="52">
                  <c:v>1669.0</c:v>
                </c:pt>
                <c:pt idx="53" formatCode="0">
                  <c:v>1609.532727</c:v>
                </c:pt>
                <c:pt idx="54" formatCode="0">
                  <c:v>1579.0</c:v>
                </c:pt>
                <c:pt idx="55" formatCode="0">
                  <c:v>1600.905542</c:v>
                </c:pt>
                <c:pt idx="56">
                  <c:v>1642.0</c:v>
                </c:pt>
                <c:pt idx="57" formatCode="0">
                  <c:v>1584.390349</c:v>
                </c:pt>
                <c:pt idx="58">
                  <c:v>1641.0</c:v>
                </c:pt>
                <c:pt idx="59">
                  <c:v>1642.0</c:v>
                </c:pt>
                <c:pt idx="60">
                  <c:v>1639.0</c:v>
                </c:pt>
                <c:pt idx="61">
                  <c:v>1641.0</c:v>
                </c:pt>
                <c:pt idx="62">
                  <c:v>1636.0</c:v>
                </c:pt>
                <c:pt idx="63">
                  <c:v>1637.0</c:v>
                </c:pt>
                <c:pt idx="64">
                  <c:v>1637.0</c:v>
                </c:pt>
                <c:pt idx="65">
                  <c:v>1447.6</c:v>
                </c:pt>
                <c:pt idx="66">
                  <c:v>1659.0</c:v>
                </c:pt>
                <c:pt idx="67">
                  <c:v>1551.0</c:v>
                </c:pt>
                <c:pt idx="68">
                  <c:v>1637.0</c:v>
                </c:pt>
                <c:pt idx="69">
                  <c:v>1651.0</c:v>
                </c:pt>
                <c:pt idx="70">
                  <c:v>1644.0</c:v>
                </c:pt>
                <c:pt idx="71">
                  <c:v>1659.0</c:v>
                </c:pt>
                <c:pt idx="72" formatCode="0">
                  <c:v>1603.0</c:v>
                </c:pt>
                <c:pt idx="73">
                  <c:v>1632.0</c:v>
                </c:pt>
                <c:pt idx="74">
                  <c:v>1631.0</c:v>
                </c:pt>
                <c:pt idx="75">
                  <c:v>1629.0</c:v>
                </c:pt>
                <c:pt idx="76">
                  <c:v>1624.0</c:v>
                </c:pt>
                <c:pt idx="77">
                  <c:v>1625.0</c:v>
                </c:pt>
                <c:pt idx="78">
                  <c:v>1621.0</c:v>
                </c:pt>
                <c:pt idx="79">
                  <c:v>1640.0</c:v>
                </c:pt>
                <c:pt idx="80">
                  <c:v>1619.0</c:v>
                </c:pt>
                <c:pt idx="81">
                  <c:v>1620.0</c:v>
                </c:pt>
                <c:pt idx="82">
                  <c:v>1625.0</c:v>
                </c:pt>
                <c:pt idx="83">
                  <c:v>1635.0</c:v>
                </c:pt>
                <c:pt idx="84">
                  <c:v>1656.0</c:v>
                </c:pt>
                <c:pt idx="85">
                  <c:v>1612.0</c:v>
                </c:pt>
                <c:pt idx="86">
                  <c:v>1615.0</c:v>
                </c:pt>
                <c:pt idx="87">
                  <c:v>1615.0</c:v>
                </c:pt>
                <c:pt idx="88">
                  <c:v>1625.0</c:v>
                </c:pt>
                <c:pt idx="89">
                  <c:v>1635.0</c:v>
                </c:pt>
                <c:pt idx="90" formatCode="0">
                  <c:v>1605.309781</c:v>
                </c:pt>
                <c:pt idx="91">
                  <c:v>1612.0</c:v>
                </c:pt>
                <c:pt idx="92">
                  <c:v>1613.0</c:v>
                </c:pt>
                <c:pt idx="93">
                  <c:v>1607.0</c:v>
                </c:pt>
                <c:pt idx="94">
                  <c:v>1608.0</c:v>
                </c:pt>
                <c:pt idx="95">
                  <c:v>1603.0</c:v>
                </c:pt>
                <c:pt idx="96">
                  <c:v>1605.0</c:v>
                </c:pt>
                <c:pt idx="97" formatCode="0">
                  <c:v>1523.0</c:v>
                </c:pt>
                <c:pt idx="98">
                  <c:v>1601.0</c:v>
                </c:pt>
                <c:pt idx="99">
                  <c:v>1605.0</c:v>
                </c:pt>
                <c:pt idx="100">
                  <c:v>1618.0</c:v>
                </c:pt>
                <c:pt idx="101">
                  <c:v>1632.0</c:v>
                </c:pt>
                <c:pt idx="102">
                  <c:v>1573.8</c:v>
                </c:pt>
                <c:pt idx="103">
                  <c:v>1632.0</c:v>
                </c:pt>
                <c:pt idx="104">
                  <c:v>1596.0</c:v>
                </c:pt>
                <c:pt idx="105">
                  <c:v>1592.0</c:v>
                </c:pt>
                <c:pt idx="106">
                  <c:v>1582.0</c:v>
                </c:pt>
                <c:pt idx="107">
                  <c:v>1587.0</c:v>
                </c:pt>
                <c:pt idx="108">
                  <c:v>1588.0</c:v>
                </c:pt>
                <c:pt idx="109">
                  <c:v>1588.0</c:v>
                </c:pt>
                <c:pt idx="110">
                  <c:v>1590.0</c:v>
                </c:pt>
                <c:pt idx="111">
                  <c:v>1581.0</c:v>
                </c:pt>
                <c:pt idx="112">
                  <c:v>1585.0</c:v>
                </c:pt>
                <c:pt idx="113">
                  <c:v>1586.0</c:v>
                </c:pt>
                <c:pt idx="114">
                  <c:v>1582.0</c:v>
                </c:pt>
                <c:pt idx="115">
                  <c:v>1576.0</c:v>
                </c:pt>
                <c:pt idx="116">
                  <c:v>1578.0</c:v>
                </c:pt>
                <c:pt idx="117">
                  <c:v>1596.9</c:v>
                </c:pt>
                <c:pt idx="118">
                  <c:v>1571.0</c:v>
                </c:pt>
                <c:pt idx="119">
                  <c:v>1572.0</c:v>
                </c:pt>
                <c:pt idx="120">
                  <c:v>1567.0</c:v>
                </c:pt>
                <c:pt idx="121">
                  <c:v>1568.0</c:v>
                </c:pt>
                <c:pt idx="122">
                  <c:v>1566.0</c:v>
                </c:pt>
                <c:pt idx="123">
                  <c:v>1563.0</c:v>
                </c:pt>
                <c:pt idx="124">
                  <c:v>1562.0</c:v>
                </c:pt>
                <c:pt idx="125">
                  <c:v>1562.0</c:v>
                </c:pt>
                <c:pt idx="126">
                  <c:v>1561.0</c:v>
                </c:pt>
                <c:pt idx="127">
                  <c:v>1566.0</c:v>
                </c:pt>
                <c:pt idx="128">
                  <c:v>1560.0</c:v>
                </c:pt>
                <c:pt idx="129">
                  <c:v>1555.0</c:v>
                </c:pt>
                <c:pt idx="130">
                  <c:v>1528.0</c:v>
                </c:pt>
                <c:pt idx="131">
                  <c:v>1554.0</c:v>
                </c:pt>
                <c:pt idx="132">
                  <c:v>1553.0</c:v>
                </c:pt>
                <c:pt idx="133">
                  <c:v>1527.0</c:v>
                </c:pt>
                <c:pt idx="134">
                  <c:v>1545.0</c:v>
                </c:pt>
                <c:pt idx="135">
                  <c:v>1544.0</c:v>
                </c:pt>
                <c:pt idx="136">
                  <c:v>1543.0</c:v>
                </c:pt>
                <c:pt idx="137">
                  <c:v>1543.0</c:v>
                </c:pt>
                <c:pt idx="138">
                  <c:v>1534.0</c:v>
                </c:pt>
                <c:pt idx="139">
                  <c:v>1538.0</c:v>
                </c:pt>
                <c:pt idx="140">
                  <c:v>1527.0</c:v>
                </c:pt>
                <c:pt idx="141">
                  <c:v>1522.0</c:v>
                </c:pt>
                <c:pt idx="142">
                  <c:v>1508.0</c:v>
                </c:pt>
                <c:pt idx="143">
                  <c:v>1508.0</c:v>
                </c:pt>
                <c:pt idx="144">
                  <c:v>1497.0</c:v>
                </c:pt>
                <c:pt idx="145">
                  <c:v>1494.0</c:v>
                </c:pt>
                <c:pt idx="146">
                  <c:v>1492.0</c:v>
                </c:pt>
                <c:pt idx="147">
                  <c:v>1310.833333333333</c:v>
                </c:pt>
                <c:pt idx="148">
                  <c:v>1483.0</c:v>
                </c:pt>
                <c:pt idx="149">
                  <c:v>1478.0</c:v>
                </c:pt>
                <c:pt idx="150">
                  <c:v>1469.0</c:v>
                </c:pt>
                <c:pt idx="151">
                  <c:v>1458.0</c:v>
                </c:pt>
                <c:pt idx="152">
                  <c:v>1468.0</c:v>
                </c:pt>
                <c:pt idx="153">
                  <c:v>1460.0</c:v>
                </c:pt>
                <c:pt idx="154">
                  <c:v>1456.0</c:v>
                </c:pt>
                <c:pt idx="155">
                  <c:v>1455.0</c:v>
                </c:pt>
                <c:pt idx="156">
                  <c:v>1448.0</c:v>
                </c:pt>
                <c:pt idx="157">
                  <c:v>1439.0</c:v>
                </c:pt>
                <c:pt idx="158">
                  <c:v>1421.0</c:v>
                </c:pt>
                <c:pt idx="159">
                  <c:v>1423.0</c:v>
                </c:pt>
                <c:pt idx="160">
                  <c:v>1422.0</c:v>
                </c:pt>
                <c:pt idx="161">
                  <c:v>1423.0</c:v>
                </c:pt>
                <c:pt idx="162">
                  <c:v>1413.0</c:v>
                </c:pt>
                <c:pt idx="163">
                  <c:v>1403.0</c:v>
                </c:pt>
                <c:pt idx="164">
                  <c:v>1413.0</c:v>
                </c:pt>
                <c:pt idx="165">
                  <c:v>1427.0</c:v>
                </c:pt>
                <c:pt idx="166">
                  <c:v>1386.0</c:v>
                </c:pt>
                <c:pt idx="167">
                  <c:v>1353.0</c:v>
                </c:pt>
                <c:pt idx="168">
                  <c:v>1360.0</c:v>
                </c:pt>
                <c:pt idx="169">
                  <c:v>1364.0</c:v>
                </c:pt>
                <c:pt idx="170">
                  <c:v>1339.0</c:v>
                </c:pt>
                <c:pt idx="171">
                  <c:v>1338.0</c:v>
                </c:pt>
                <c:pt idx="172">
                  <c:v>1297.0</c:v>
                </c:pt>
                <c:pt idx="173">
                  <c:v>1261.0</c:v>
                </c:pt>
                <c:pt idx="174">
                  <c:v>1204.0</c:v>
                </c:pt>
                <c:pt idx="175">
                  <c:v>1180.0</c:v>
                </c:pt>
                <c:pt idx="176">
                  <c:v>1146.0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858728"/>
        <c:axId val="-2113861752"/>
      </c:scatterChart>
      <c:valAx>
        <c:axId val="-2113858728"/>
        <c:scaling>
          <c:orientation val="minMax"/>
          <c:max val="1.0"/>
          <c:min val="0.6"/>
        </c:scaling>
        <c:delete val="0"/>
        <c:axPos val="b"/>
        <c:numFmt formatCode="General" sourceLinked="1"/>
        <c:majorTickMark val="out"/>
        <c:minorTickMark val="none"/>
        <c:tickLblPos val="nextTo"/>
        <c:crossAx val="-2113861752"/>
        <c:crosses val="autoZero"/>
        <c:crossBetween val="midCat"/>
      </c:valAx>
      <c:valAx>
        <c:axId val="-2113861752"/>
        <c:scaling>
          <c:orientation val="minMax"/>
          <c:min val="1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3858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'W conifer CO2 detail NOTUSED'!$X$4:$X$36</c:f>
              <c:numCache>
                <c:formatCode>General</c:formatCode>
                <c:ptCount val="33"/>
                <c:pt idx="0">
                  <c:v>0.972</c:v>
                </c:pt>
                <c:pt idx="1">
                  <c:v>0.95</c:v>
                </c:pt>
                <c:pt idx="2">
                  <c:v>0.949</c:v>
                </c:pt>
                <c:pt idx="3">
                  <c:v>0.94</c:v>
                </c:pt>
                <c:pt idx="4">
                  <c:v>0.936</c:v>
                </c:pt>
                <c:pt idx="5">
                  <c:v>0.935</c:v>
                </c:pt>
                <c:pt idx="6">
                  <c:v>0.933</c:v>
                </c:pt>
                <c:pt idx="7">
                  <c:v>0.93</c:v>
                </c:pt>
                <c:pt idx="8">
                  <c:v>0.906</c:v>
                </c:pt>
                <c:pt idx="9">
                  <c:v>0.9</c:v>
                </c:pt>
                <c:pt idx="10">
                  <c:v>0.9</c:v>
                </c:pt>
                <c:pt idx="11">
                  <c:v>0.89</c:v>
                </c:pt>
                <c:pt idx="12">
                  <c:v>0.89</c:v>
                </c:pt>
                <c:pt idx="13">
                  <c:v>0.88</c:v>
                </c:pt>
                <c:pt idx="14">
                  <c:v>0.85</c:v>
                </c:pt>
                <c:pt idx="15">
                  <c:v>0.846</c:v>
                </c:pt>
                <c:pt idx="16">
                  <c:v>0.841</c:v>
                </c:pt>
                <c:pt idx="17">
                  <c:v>0.83</c:v>
                </c:pt>
                <c:pt idx="18">
                  <c:v>0.822</c:v>
                </c:pt>
                <c:pt idx="19">
                  <c:v>0.816</c:v>
                </c:pt>
                <c:pt idx="20">
                  <c:v>0.814</c:v>
                </c:pt>
                <c:pt idx="21">
                  <c:v>0.813</c:v>
                </c:pt>
                <c:pt idx="22">
                  <c:v>0.805</c:v>
                </c:pt>
                <c:pt idx="23">
                  <c:v>0.8</c:v>
                </c:pt>
                <c:pt idx="24">
                  <c:v>0.794</c:v>
                </c:pt>
                <c:pt idx="25">
                  <c:v>0.789</c:v>
                </c:pt>
                <c:pt idx="26">
                  <c:v>0.784</c:v>
                </c:pt>
                <c:pt idx="27">
                  <c:v>0.775</c:v>
                </c:pt>
                <c:pt idx="28">
                  <c:v>0.775</c:v>
                </c:pt>
                <c:pt idx="29">
                  <c:v>0.77</c:v>
                </c:pt>
                <c:pt idx="30">
                  <c:v>0.73</c:v>
                </c:pt>
                <c:pt idx="31">
                  <c:v>0.729</c:v>
                </c:pt>
                <c:pt idx="32">
                  <c:v>0.643</c:v>
                </c:pt>
              </c:numCache>
            </c:numRef>
          </c:xVal>
          <c:yVal>
            <c:numRef>
              <c:f>'W conifer CO2 detail NOTUSED'!$Y$4:$Y$36</c:f>
              <c:numCache>
                <c:formatCode>General</c:formatCode>
                <c:ptCount val="33"/>
                <c:pt idx="0">
                  <c:v>1781.0</c:v>
                </c:pt>
                <c:pt idx="1">
                  <c:v>1764.9</c:v>
                </c:pt>
                <c:pt idx="2">
                  <c:v>1739.0</c:v>
                </c:pt>
                <c:pt idx="3">
                  <c:v>1720.0</c:v>
                </c:pt>
                <c:pt idx="4">
                  <c:v>1716.0</c:v>
                </c:pt>
                <c:pt idx="5">
                  <c:v>1716.0</c:v>
                </c:pt>
                <c:pt idx="6">
                  <c:v>1711.0</c:v>
                </c:pt>
                <c:pt idx="7">
                  <c:v>1705.0</c:v>
                </c:pt>
                <c:pt idx="8" formatCode="0">
                  <c:v>1579.0</c:v>
                </c:pt>
                <c:pt idx="9">
                  <c:v>1447.6</c:v>
                </c:pt>
                <c:pt idx="10">
                  <c:v>1659.0</c:v>
                </c:pt>
                <c:pt idx="11">
                  <c:v>1625.0</c:v>
                </c:pt>
                <c:pt idx="12">
                  <c:v>1635.0</c:v>
                </c:pt>
                <c:pt idx="13">
                  <c:v>1632.0</c:v>
                </c:pt>
                <c:pt idx="14">
                  <c:v>1560.0</c:v>
                </c:pt>
                <c:pt idx="15">
                  <c:v>1553.0</c:v>
                </c:pt>
                <c:pt idx="16">
                  <c:v>1544.0</c:v>
                </c:pt>
                <c:pt idx="17">
                  <c:v>1522.0</c:v>
                </c:pt>
                <c:pt idx="18">
                  <c:v>1508.0</c:v>
                </c:pt>
                <c:pt idx="19">
                  <c:v>1497.0</c:v>
                </c:pt>
                <c:pt idx="20">
                  <c:v>1494.0</c:v>
                </c:pt>
                <c:pt idx="21">
                  <c:v>1492.0</c:v>
                </c:pt>
                <c:pt idx="22">
                  <c:v>1478.0</c:v>
                </c:pt>
                <c:pt idx="23">
                  <c:v>1469.0</c:v>
                </c:pt>
                <c:pt idx="24">
                  <c:v>1456.0</c:v>
                </c:pt>
                <c:pt idx="25">
                  <c:v>1448.0</c:v>
                </c:pt>
                <c:pt idx="26">
                  <c:v>1439.0</c:v>
                </c:pt>
                <c:pt idx="27">
                  <c:v>1422.0</c:v>
                </c:pt>
                <c:pt idx="28">
                  <c:v>1423.0</c:v>
                </c:pt>
                <c:pt idx="29">
                  <c:v>1413.0</c:v>
                </c:pt>
                <c:pt idx="30">
                  <c:v>1339.0</c:v>
                </c:pt>
                <c:pt idx="31">
                  <c:v>1338.0</c:v>
                </c:pt>
                <c:pt idx="32">
                  <c:v>1180.0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308200"/>
        <c:axId val="-2110305160"/>
      </c:scatterChart>
      <c:valAx>
        <c:axId val="-2110308200"/>
        <c:scaling>
          <c:orientation val="minMax"/>
          <c:max val="1.0"/>
          <c:min val="0.6"/>
        </c:scaling>
        <c:delete val="0"/>
        <c:axPos val="b"/>
        <c:numFmt formatCode="General" sourceLinked="1"/>
        <c:majorTickMark val="out"/>
        <c:minorTickMark val="none"/>
        <c:tickLblPos val="nextTo"/>
        <c:crossAx val="-2110305160"/>
        <c:crosses val="autoZero"/>
        <c:crossBetween val="midCat"/>
      </c:valAx>
      <c:valAx>
        <c:axId val="-2110305160"/>
        <c:scaling>
          <c:orientation val="minMax"/>
          <c:min val="1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0308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 conifer CO2 detail NOTUSED'!$K$109</c:f>
              <c:strCache>
                <c:ptCount val="1"/>
                <c:pt idx="0">
                  <c:v>W conifer - ponderosa pine</c:v>
                </c:pt>
              </c:strCache>
            </c:strRef>
          </c:tx>
          <c:spPr>
            <a:ln w="47625">
              <a:noFill/>
            </a:ln>
          </c:spPr>
          <c:xVal>
            <c:numRef>
              <c:f>'W conifer CO2 detail NOTUSED'!$X$109:$X$130</c:f>
              <c:numCache>
                <c:formatCode>General</c:formatCode>
                <c:ptCount val="22"/>
                <c:pt idx="0">
                  <c:v>0.889626457</c:v>
                </c:pt>
                <c:pt idx="1">
                  <c:v>0.899803923</c:v>
                </c:pt>
                <c:pt idx="2">
                  <c:v>0.903989899</c:v>
                </c:pt>
                <c:pt idx="3">
                  <c:v>0.90572358</c:v>
                </c:pt>
                <c:pt idx="4">
                  <c:v>0.909936387</c:v>
                </c:pt>
                <c:pt idx="5">
                  <c:v>0.91</c:v>
                </c:pt>
                <c:pt idx="6">
                  <c:v>0.910481924</c:v>
                </c:pt>
                <c:pt idx="7">
                  <c:v>0.914260534</c:v>
                </c:pt>
                <c:pt idx="8">
                  <c:v>0.916200701</c:v>
                </c:pt>
                <c:pt idx="9">
                  <c:v>0.916377434</c:v>
                </c:pt>
                <c:pt idx="10">
                  <c:v>0.916377434</c:v>
                </c:pt>
                <c:pt idx="11">
                  <c:v>0.918096547</c:v>
                </c:pt>
                <c:pt idx="12">
                  <c:v>0.918314079</c:v>
                </c:pt>
                <c:pt idx="13">
                  <c:v>0.918659298</c:v>
                </c:pt>
                <c:pt idx="14">
                  <c:v>0.92</c:v>
                </c:pt>
                <c:pt idx="15">
                  <c:v>0.92372757</c:v>
                </c:pt>
                <c:pt idx="16">
                  <c:v>0.924018379</c:v>
                </c:pt>
                <c:pt idx="17">
                  <c:v>0.92572143</c:v>
                </c:pt>
                <c:pt idx="18">
                  <c:v>0.931630827</c:v>
                </c:pt>
                <c:pt idx="19">
                  <c:v>0.938367615</c:v>
                </c:pt>
                <c:pt idx="20">
                  <c:v>0.942</c:v>
                </c:pt>
                <c:pt idx="21">
                  <c:v>0.948400973</c:v>
                </c:pt>
              </c:numCache>
            </c:numRef>
          </c:xVal>
          <c:yVal>
            <c:numRef>
              <c:f>'W conifer CO2 detail NOTUSED'!$Y$109:$Y$130</c:f>
              <c:numCache>
                <c:formatCode>0</c:formatCode>
                <c:ptCount val="22"/>
                <c:pt idx="0">
                  <c:v>1605.309781</c:v>
                </c:pt>
                <c:pt idx="1">
                  <c:v>1603.0</c:v>
                </c:pt>
                <c:pt idx="2">
                  <c:v>1584.390349</c:v>
                </c:pt>
                <c:pt idx="3">
                  <c:v>1600.905542</c:v>
                </c:pt>
                <c:pt idx="4">
                  <c:v>1609.532727</c:v>
                </c:pt>
                <c:pt idx="5" formatCode="General">
                  <c:v>1603.0</c:v>
                </c:pt>
                <c:pt idx="6">
                  <c:v>1607.441636</c:v>
                </c:pt>
                <c:pt idx="7">
                  <c:v>1632.312898</c:v>
                </c:pt>
                <c:pt idx="8">
                  <c:v>1609.4</c:v>
                </c:pt>
                <c:pt idx="9">
                  <c:v>1622.282793</c:v>
                </c:pt>
                <c:pt idx="10">
                  <c:v>1622.282793</c:v>
                </c:pt>
                <c:pt idx="11">
                  <c:v>1639.931004</c:v>
                </c:pt>
                <c:pt idx="12">
                  <c:v>1640.3191</c:v>
                </c:pt>
                <c:pt idx="13">
                  <c:v>1638.934535</c:v>
                </c:pt>
                <c:pt idx="14">
                  <c:v>1589.0</c:v>
                </c:pt>
                <c:pt idx="15">
                  <c:v>1648.326386</c:v>
                </c:pt>
                <c:pt idx="16">
                  <c:v>1657.959049</c:v>
                </c:pt>
                <c:pt idx="17">
                  <c:v>1649.695015</c:v>
                </c:pt>
                <c:pt idx="18">
                  <c:v>1667.981295</c:v>
                </c:pt>
                <c:pt idx="19">
                  <c:v>1677.670457</c:v>
                </c:pt>
                <c:pt idx="20">
                  <c:v>1692.932292</c:v>
                </c:pt>
                <c:pt idx="21">
                  <c:v>1716.515762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 conifer CO2 detail NOTUSED'!$K$132</c:f>
              <c:strCache>
                <c:ptCount val="1"/>
                <c:pt idx="0">
                  <c:v>W conifer - ponderosa pine wood</c:v>
                </c:pt>
              </c:strCache>
            </c:strRef>
          </c:tx>
          <c:spPr>
            <a:ln w="47625">
              <a:noFill/>
            </a:ln>
          </c:spPr>
          <c:xVal>
            <c:numRef>
              <c:f>'W conifer CO2 detail NOTUSED'!$X$132:$X$133</c:f>
              <c:numCache>
                <c:formatCode>General</c:formatCode>
                <c:ptCount val="2"/>
                <c:pt idx="0">
                  <c:v>0.98</c:v>
                </c:pt>
                <c:pt idx="1">
                  <c:v>0.88</c:v>
                </c:pt>
              </c:numCache>
            </c:numRef>
          </c:xVal>
          <c:yVal>
            <c:numRef>
              <c:f>'W conifer CO2 detail NOTUSED'!$Y$132:$Y$134</c:f>
              <c:numCache>
                <c:formatCode>General</c:formatCode>
                <c:ptCount val="3"/>
                <c:pt idx="0">
                  <c:v>1763.1</c:v>
                </c:pt>
                <c:pt idx="1">
                  <c:v>1573.8</c:v>
                </c:pt>
                <c:pt idx="2">
                  <c:v>1781.9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 conifer CO2 detail NOTUSED'!$K$134</c:f>
              <c:strCache>
                <c:ptCount val="1"/>
                <c:pt idx="0">
                  <c:v>W conifer - ponderosa pine litter</c:v>
                </c:pt>
              </c:strCache>
            </c:strRef>
          </c:tx>
          <c:spPr>
            <a:ln w="47625">
              <a:noFill/>
            </a:ln>
          </c:spPr>
          <c:xVal>
            <c:numRef>
              <c:f>'W conifer CO2 detail NOTUSED'!$X$134:$X$136</c:f>
              <c:numCache>
                <c:formatCode>General</c:formatCode>
                <c:ptCount val="3"/>
                <c:pt idx="0">
                  <c:v>0.97</c:v>
                </c:pt>
                <c:pt idx="1">
                  <c:v>0.959</c:v>
                </c:pt>
                <c:pt idx="2">
                  <c:v>0.87</c:v>
                </c:pt>
              </c:numCache>
            </c:numRef>
          </c:xVal>
          <c:yVal>
            <c:numRef>
              <c:f>'W conifer CO2 detail NOTUSED'!$Y$134:$Y$136</c:f>
              <c:numCache>
                <c:formatCode>0</c:formatCode>
                <c:ptCount val="3"/>
                <c:pt idx="0" formatCode="General">
                  <c:v>1781.9</c:v>
                </c:pt>
                <c:pt idx="1">
                  <c:v>1856.0</c:v>
                </c:pt>
                <c:pt idx="2" formatCode="General">
                  <c:v>1596.9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 conifer CO2 detail NOTUSED'!$K$137</c:f>
              <c:strCache>
                <c:ptCount val="1"/>
                <c:pt idx="0">
                  <c:v>W conifer - ponderosa pine needles</c:v>
                </c:pt>
              </c:strCache>
            </c:strRef>
          </c:tx>
          <c:spPr>
            <a:ln w="47625">
              <a:noFill/>
            </a:ln>
          </c:spPr>
          <c:xVal>
            <c:numRef>
              <c:f>'W conifer CO2 detail NOTUSED'!$X$137:$X$138</c:f>
              <c:numCache>
                <c:formatCode>General</c:formatCode>
                <c:ptCount val="2"/>
                <c:pt idx="0">
                  <c:v>0.98</c:v>
                </c:pt>
                <c:pt idx="1">
                  <c:v>0.97</c:v>
                </c:pt>
              </c:numCache>
            </c:numRef>
          </c:xVal>
          <c:yVal>
            <c:numRef>
              <c:f>'W conifer CO2 detail NOTUSED'!$Y$137:$Y$138</c:f>
              <c:numCache>
                <c:formatCode>General</c:formatCode>
                <c:ptCount val="2"/>
                <c:pt idx="0">
                  <c:v>1932.8</c:v>
                </c:pt>
                <c:pt idx="1">
                  <c:v>1918.8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 conifer CO2 detail NOTUSED'!$K$139</c:f>
              <c:strCache>
                <c:ptCount val="1"/>
                <c:pt idx="0">
                  <c:v>W conifer - ponderosa pine slash</c:v>
                </c:pt>
              </c:strCache>
            </c:strRef>
          </c:tx>
          <c:spPr>
            <a:ln w="47625">
              <a:noFill/>
            </a:ln>
          </c:spPr>
          <c:xVal>
            <c:numRef>
              <c:f>'W conifer CO2 detail NOTUSED'!$X$139:$X$147</c:f>
              <c:numCache>
                <c:formatCode>General</c:formatCode>
                <c:ptCount val="9"/>
                <c:pt idx="0">
                  <c:v>0.951</c:v>
                </c:pt>
                <c:pt idx="1">
                  <c:v>0.947</c:v>
                </c:pt>
                <c:pt idx="2">
                  <c:v>0.928</c:v>
                </c:pt>
                <c:pt idx="3">
                  <c:v>0.9</c:v>
                </c:pt>
                <c:pt idx="4">
                  <c:v>0.854</c:v>
                </c:pt>
                <c:pt idx="5">
                  <c:v>0.847</c:v>
                </c:pt>
                <c:pt idx="6">
                  <c:v>0.841</c:v>
                </c:pt>
                <c:pt idx="7">
                  <c:v>0.822</c:v>
                </c:pt>
                <c:pt idx="8">
                  <c:v>0.796</c:v>
                </c:pt>
              </c:numCache>
            </c:numRef>
          </c:xVal>
          <c:yVal>
            <c:numRef>
              <c:f>'W conifer CO2 detail NOTUSED'!$Y$139:$Y$147</c:f>
              <c:numCache>
                <c:formatCode>General</c:formatCode>
                <c:ptCount val="9"/>
                <c:pt idx="0">
                  <c:v>1745.0</c:v>
                </c:pt>
                <c:pt idx="1">
                  <c:v>1739.0</c:v>
                </c:pt>
                <c:pt idx="2">
                  <c:v>1704.0</c:v>
                </c:pt>
                <c:pt idx="3">
                  <c:v>1651.0</c:v>
                </c:pt>
                <c:pt idx="4">
                  <c:v>1566.0</c:v>
                </c:pt>
                <c:pt idx="5">
                  <c:v>1554.0</c:v>
                </c:pt>
                <c:pt idx="6">
                  <c:v>1543.0</c:v>
                </c:pt>
                <c:pt idx="7">
                  <c:v>1508.0</c:v>
                </c:pt>
                <c:pt idx="8">
                  <c:v>1460.0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255208"/>
        <c:axId val="-2110252136"/>
      </c:scatterChart>
      <c:valAx>
        <c:axId val="-2110255208"/>
        <c:scaling>
          <c:orientation val="minMax"/>
          <c:max val="1.0"/>
          <c:min val="0.75"/>
        </c:scaling>
        <c:delete val="0"/>
        <c:axPos val="b"/>
        <c:numFmt formatCode="General" sourceLinked="1"/>
        <c:majorTickMark val="out"/>
        <c:minorTickMark val="none"/>
        <c:tickLblPos val="nextTo"/>
        <c:crossAx val="-2110252136"/>
        <c:crosses val="autoZero"/>
        <c:crossBetween val="midCat"/>
      </c:valAx>
      <c:valAx>
        <c:axId val="-2110252136"/>
        <c:scaling>
          <c:orientation val="minMax"/>
          <c:max val="2000.0"/>
          <c:min val="140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10255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5108923884514"/>
          <c:y val="0.123080708661417"/>
          <c:w val="0.304891076115486"/>
          <c:h val="0.74457932341790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strRef>
              <c:f>CO!$X$461:$X$500</c:f>
              <c:strCache>
                <c:ptCount val="40"/>
                <c:pt idx="0">
                  <c:v>0.8474</c:v>
                </c:pt>
                <c:pt idx="1">
                  <c:v>0.8528</c:v>
                </c:pt>
                <c:pt idx="2">
                  <c:v>0.86</c:v>
                </c:pt>
                <c:pt idx="3">
                  <c:v>0.866</c:v>
                </c:pt>
                <c:pt idx="4">
                  <c:v>0.889</c:v>
                </c:pt>
                <c:pt idx="5">
                  <c:v>0.8982</c:v>
                </c:pt>
                <c:pt idx="6">
                  <c:v>0.899</c:v>
                </c:pt>
                <c:pt idx="8">
                  <c:v>0.901</c:v>
                </c:pt>
                <c:pt idx="9">
                  <c:v>0.903</c:v>
                </c:pt>
                <c:pt idx="10">
                  <c:v>0.905</c:v>
                </c:pt>
                <c:pt idx="11">
                  <c:v>0.909</c:v>
                </c:pt>
                <c:pt idx="12">
                  <c:v>0.91</c:v>
                </c:pt>
                <c:pt idx="13">
                  <c:v>0.913</c:v>
                </c:pt>
                <c:pt idx="14">
                  <c:v>0.914</c:v>
                </c:pt>
                <c:pt idx="15">
                  <c:v>0.9148</c:v>
                </c:pt>
                <c:pt idx="16">
                  <c:v>0.92</c:v>
                </c:pt>
                <c:pt idx="17">
                  <c:v>0.92</c:v>
                </c:pt>
                <c:pt idx="18">
                  <c:v>0.92</c:v>
                </c:pt>
                <c:pt idx="19">
                  <c:v>0.93</c:v>
                </c:pt>
                <c:pt idx="20">
                  <c:v>0.93</c:v>
                </c:pt>
                <c:pt idx="21">
                  <c:v>0.933</c:v>
                </c:pt>
                <c:pt idx="22">
                  <c:v>0.935</c:v>
                </c:pt>
                <c:pt idx="23">
                  <c:v>0.9368</c:v>
                </c:pt>
                <c:pt idx="24">
                  <c:v>0.938</c:v>
                </c:pt>
                <c:pt idx="25">
                  <c:v>0.939</c:v>
                </c:pt>
                <c:pt idx="26">
                  <c:v>0.939</c:v>
                </c:pt>
                <c:pt idx="27">
                  <c:v>0.94</c:v>
                </c:pt>
                <c:pt idx="28">
                  <c:v>0.94</c:v>
                </c:pt>
                <c:pt idx="29">
                  <c:v>0.94</c:v>
                </c:pt>
                <c:pt idx="30">
                  <c:v>0.94</c:v>
                </c:pt>
                <c:pt idx="31">
                  <c:v>0.944</c:v>
                </c:pt>
                <c:pt idx="32">
                  <c:v>0.946</c:v>
                </c:pt>
                <c:pt idx="33">
                  <c:v>0.947</c:v>
                </c:pt>
                <c:pt idx="34">
                  <c:v>0.948</c:v>
                </c:pt>
                <c:pt idx="35">
                  <c:v>0.95</c:v>
                </c:pt>
                <c:pt idx="36">
                  <c:v>0.952</c:v>
                </c:pt>
                <c:pt idx="37">
                  <c:v>0.954</c:v>
                </c:pt>
                <c:pt idx="38">
                  <c:v>0.956</c:v>
                </c:pt>
                <c:pt idx="39">
                  <c:v>0.96</c:v>
                </c:pt>
              </c:strCache>
            </c:strRef>
          </c:xVal>
          <c:yVal>
            <c:numRef>
              <c:f>CO!$Y$461:$Y$500</c:f>
              <c:numCache>
                <c:formatCode>0.00</c:formatCode>
                <c:ptCount val="40"/>
                <c:pt idx="0">
                  <c:v>115.5</c:v>
                </c:pt>
                <c:pt idx="1">
                  <c:v>111.3</c:v>
                </c:pt>
                <c:pt idx="2">
                  <c:v>131.5</c:v>
                </c:pt>
                <c:pt idx="3">
                  <c:v>81.65000000000001</c:v>
                </c:pt>
                <c:pt idx="4">
                  <c:v>111.2</c:v>
                </c:pt>
                <c:pt idx="5">
                  <c:v>55.45</c:v>
                </c:pt>
                <c:pt idx="6">
                  <c:v>104.4</c:v>
                </c:pt>
                <c:pt idx="7">
                  <c:v>102.0</c:v>
                </c:pt>
                <c:pt idx="8">
                  <c:v>73.9</c:v>
                </c:pt>
                <c:pt idx="9">
                  <c:v>109.0</c:v>
                </c:pt>
                <c:pt idx="10">
                  <c:v>96.4</c:v>
                </c:pt>
                <c:pt idx="11">
                  <c:v>93.2</c:v>
                </c:pt>
                <c:pt idx="12">
                  <c:v>55.468</c:v>
                </c:pt>
                <c:pt idx="13">
                  <c:v>98.3</c:v>
                </c:pt>
                <c:pt idx="14">
                  <c:v>86.1</c:v>
                </c:pt>
                <c:pt idx="15">
                  <c:v>48.05</c:v>
                </c:pt>
                <c:pt idx="16">
                  <c:v>89.4</c:v>
                </c:pt>
                <c:pt idx="17">
                  <c:v>67.915</c:v>
                </c:pt>
                <c:pt idx="18">
                  <c:v>81.05</c:v>
                </c:pt>
                <c:pt idx="19">
                  <c:v>88.2</c:v>
                </c:pt>
                <c:pt idx="20">
                  <c:v>58.552</c:v>
                </c:pt>
                <c:pt idx="21">
                  <c:v>76.0</c:v>
                </c:pt>
                <c:pt idx="22">
                  <c:v>68.0</c:v>
                </c:pt>
                <c:pt idx="23">
                  <c:v>32.8</c:v>
                </c:pt>
                <c:pt idx="24">
                  <c:v>70.0</c:v>
                </c:pt>
                <c:pt idx="25">
                  <c:v>74.94</c:v>
                </c:pt>
                <c:pt idx="26">
                  <c:v>71.05</c:v>
                </c:pt>
                <c:pt idx="27">
                  <c:v>71.1</c:v>
                </c:pt>
                <c:pt idx="28">
                  <c:v>61.152</c:v>
                </c:pt>
                <c:pt idx="29">
                  <c:v>61.632</c:v>
                </c:pt>
                <c:pt idx="30">
                  <c:v>63.1</c:v>
                </c:pt>
                <c:pt idx="31">
                  <c:v>65.56</c:v>
                </c:pt>
                <c:pt idx="32">
                  <c:v>63.88</c:v>
                </c:pt>
                <c:pt idx="33">
                  <c:v>61.0</c:v>
                </c:pt>
                <c:pt idx="34">
                  <c:v>64.31</c:v>
                </c:pt>
                <c:pt idx="35">
                  <c:v>58.0</c:v>
                </c:pt>
                <c:pt idx="36">
                  <c:v>56.44</c:v>
                </c:pt>
                <c:pt idx="37">
                  <c:v>52.3</c:v>
                </c:pt>
                <c:pt idx="38">
                  <c:v>51.0</c:v>
                </c:pt>
                <c:pt idx="39">
                  <c:v>22.6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176904"/>
        <c:axId val="-2110173880"/>
      </c:scatterChart>
      <c:valAx>
        <c:axId val="-21101769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0173880"/>
        <c:crosses val="autoZero"/>
        <c:crossBetween val="midCat"/>
      </c:valAx>
      <c:valAx>
        <c:axId val="-2110173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0176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Relationship Id="rId3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Relationship Id="rId3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571500</xdr:colOff>
      <xdr:row>3</xdr:row>
      <xdr:rowOff>25400</xdr:rowOff>
    </xdr:from>
    <xdr:to>
      <xdr:col>40</xdr:col>
      <xdr:colOff>190500</xdr:colOff>
      <xdr:row>17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609600</xdr:colOff>
      <xdr:row>124</xdr:row>
      <xdr:rowOff>165100</xdr:rowOff>
    </xdr:from>
    <xdr:to>
      <xdr:col>40</xdr:col>
      <xdr:colOff>228600</xdr:colOff>
      <xdr:row>139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190500</xdr:colOff>
      <xdr:row>173</xdr:row>
      <xdr:rowOff>139700</xdr:rowOff>
    </xdr:from>
    <xdr:to>
      <xdr:col>39</xdr:col>
      <xdr:colOff>635000</xdr:colOff>
      <xdr:row>188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679450</xdr:colOff>
      <xdr:row>442</xdr:row>
      <xdr:rowOff>76200</xdr:rowOff>
    </xdr:from>
    <xdr:to>
      <xdr:col>40</xdr:col>
      <xdr:colOff>298450</xdr:colOff>
      <xdr:row>456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381000</xdr:colOff>
      <xdr:row>413</xdr:row>
      <xdr:rowOff>120650</xdr:rowOff>
    </xdr:from>
    <xdr:to>
      <xdr:col>40</xdr:col>
      <xdr:colOff>0</xdr:colOff>
      <xdr:row>428</xdr:row>
      <xdr:rowOff>6350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711200</xdr:colOff>
      <xdr:row>194</xdr:row>
      <xdr:rowOff>19050</xdr:rowOff>
    </xdr:from>
    <xdr:to>
      <xdr:col>40</xdr:col>
      <xdr:colOff>330200</xdr:colOff>
      <xdr:row>208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800100</xdr:colOff>
      <xdr:row>7</xdr:row>
      <xdr:rowOff>82550</xdr:rowOff>
    </xdr:from>
    <xdr:to>
      <xdr:col>40</xdr:col>
      <xdr:colOff>495300</xdr:colOff>
      <xdr:row>21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660400</xdr:colOff>
      <xdr:row>111</xdr:row>
      <xdr:rowOff>44450</xdr:rowOff>
    </xdr:from>
    <xdr:to>
      <xdr:col>42</xdr:col>
      <xdr:colOff>279400</xdr:colOff>
      <xdr:row>125</xdr:row>
      <xdr:rowOff>120650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76200</xdr:colOff>
      <xdr:row>464</xdr:row>
      <xdr:rowOff>165100</xdr:rowOff>
    </xdr:from>
    <xdr:to>
      <xdr:col>39</xdr:col>
      <xdr:colOff>520700</xdr:colOff>
      <xdr:row>479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292100</xdr:colOff>
      <xdr:row>438</xdr:row>
      <xdr:rowOff>19050</xdr:rowOff>
    </xdr:from>
    <xdr:to>
      <xdr:col>39</xdr:col>
      <xdr:colOff>736600</xdr:colOff>
      <xdr:row>452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508000</xdr:colOff>
      <xdr:row>207</xdr:row>
      <xdr:rowOff>57150</xdr:rowOff>
    </xdr:from>
    <xdr:to>
      <xdr:col>39</xdr:col>
      <xdr:colOff>127000</xdr:colOff>
      <xdr:row>221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114300</xdr:colOff>
      <xdr:row>46</xdr:row>
      <xdr:rowOff>6350</xdr:rowOff>
    </xdr:from>
    <xdr:to>
      <xdr:col>39</xdr:col>
      <xdr:colOff>558800</xdr:colOff>
      <xdr:row>60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444500</xdr:colOff>
      <xdr:row>78</xdr:row>
      <xdr:rowOff>107950</xdr:rowOff>
    </xdr:from>
    <xdr:to>
      <xdr:col>39</xdr:col>
      <xdr:colOff>63500</xdr:colOff>
      <xdr:row>92</xdr:row>
      <xdr:rowOff>184150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609600</xdr:colOff>
      <xdr:row>53</xdr:row>
      <xdr:rowOff>69850</xdr:rowOff>
    </xdr:from>
    <xdr:to>
      <xdr:col>40</xdr:col>
      <xdr:colOff>228600</xdr:colOff>
      <xdr:row>67</xdr:row>
      <xdr:rowOff>146050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609600</xdr:colOff>
      <xdr:row>66</xdr:row>
      <xdr:rowOff>133350</xdr:rowOff>
    </xdr:from>
    <xdr:to>
      <xdr:col>40</xdr:col>
      <xdr:colOff>228600</xdr:colOff>
      <xdr:row>81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12700</xdr:colOff>
      <xdr:row>225</xdr:row>
      <xdr:rowOff>107950</xdr:rowOff>
    </xdr:from>
    <xdr:to>
      <xdr:col>40</xdr:col>
      <xdr:colOff>457200</xdr:colOff>
      <xdr:row>239</xdr:row>
      <xdr:rowOff>184150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228600</xdr:colOff>
      <xdr:row>2</xdr:row>
      <xdr:rowOff>95250</xdr:rowOff>
    </xdr:from>
    <xdr:to>
      <xdr:col>39</xdr:col>
      <xdr:colOff>673100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647700</xdr:colOff>
      <xdr:row>4</xdr:row>
      <xdr:rowOff>88900</xdr:rowOff>
    </xdr:from>
    <xdr:to>
      <xdr:col>35</xdr:col>
      <xdr:colOff>266700</xdr:colOff>
      <xdr:row>18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330200</xdr:colOff>
      <xdr:row>68</xdr:row>
      <xdr:rowOff>12700</xdr:rowOff>
    </xdr:from>
    <xdr:to>
      <xdr:col>34</xdr:col>
      <xdr:colOff>774700</xdr:colOff>
      <xdr:row>82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571500</xdr:colOff>
      <xdr:row>20</xdr:row>
      <xdr:rowOff>63500</xdr:rowOff>
    </xdr:from>
    <xdr:to>
      <xdr:col>35</xdr:col>
      <xdr:colOff>190500</xdr:colOff>
      <xdr:row>34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16"/>
  <sheetViews>
    <sheetView workbookViewId="0">
      <pane ySplit="560" topLeftCell="A552" activePane="bottomLeft"/>
      <selection sqref="A1:Z1"/>
      <selection pane="bottomLeft" activeCell="A612" sqref="A612:D612"/>
    </sheetView>
  </sheetViews>
  <sheetFormatPr baseColWidth="10" defaultRowHeight="15" x14ac:dyDescent="0"/>
  <cols>
    <col min="1" max="1" width="10.83203125" style="160"/>
    <col min="2" max="2" width="18.83203125" style="160" bestFit="1" customWidth="1"/>
    <col min="3" max="4" width="10.83203125" style="160" customWidth="1"/>
    <col min="5" max="5" width="17.1640625" style="160" bestFit="1" customWidth="1"/>
    <col min="6" max="6" width="17.83203125" style="160" customWidth="1"/>
    <col min="7" max="7" width="29" style="160" customWidth="1"/>
    <col min="8" max="10" width="10.83203125" style="160"/>
    <col min="11" max="11" width="28.5" style="160" customWidth="1"/>
    <col min="12" max="12" width="23.1640625" style="160" customWidth="1"/>
    <col min="13" max="13" width="19.5" style="160" customWidth="1"/>
    <col min="14" max="14" width="22" style="160" customWidth="1"/>
    <col min="15" max="15" width="10.83203125" style="160" customWidth="1"/>
    <col min="16" max="16" width="10.83203125" style="160"/>
    <col min="17" max="17" width="9" style="160" customWidth="1"/>
    <col min="18" max="18" width="6.5" style="160" customWidth="1"/>
    <col min="19" max="19" width="9" style="160" customWidth="1"/>
    <col min="20" max="20" width="10.83203125" style="160"/>
    <col min="21" max="21" width="8" style="160" customWidth="1"/>
    <col min="22" max="22" width="10.83203125" style="160" customWidth="1"/>
    <col min="23" max="23" width="10.5" style="160" customWidth="1"/>
    <col min="24" max="24" width="7" style="160" customWidth="1"/>
    <col min="25" max="25" width="12" style="229" customWidth="1"/>
    <col min="26" max="26" width="10.83203125" style="160"/>
    <col min="27" max="27" width="26.83203125" style="160" customWidth="1"/>
    <col min="28" max="38" width="10.83203125" style="160"/>
  </cols>
  <sheetData>
    <row r="1" spans="1:33">
      <c r="A1" s="36" t="s">
        <v>0</v>
      </c>
      <c r="B1" s="36" t="s">
        <v>1</v>
      </c>
      <c r="C1" s="37" t="s">
        <v>2</v>
      </c>
      <c r="D1" s="37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1217</v>
      </c>
      <c r="W1" s="36" t="s">
        <v>1218</v>
      </c>
      <c r="X1" s="36" t="s">
        <v>1174</v>
      </c>
      <c r="Y1" s="50" t="s">
        <v>1219</v>
      </c>
      <c r="Z1" s="36" t="s">
        <v>1176</v>
      </c>
    </row>
    <row r="2" spans="1:33">
      <c r="B2" s="73" t="s">
        <v>985</v>
      </c>
      <c r="C2" s="54">
        <v>2011</v>
      </c>
      <c r="E2" s="56" t="s">
        <v>172</v>
      </c>
      <c r="H2" s="66" t="s">
        <v>986</v>
      </c>
      <c r="I2" s="66"/>
      <c r="J2" s="160" t="s">
        <v>1022</v>
      </c>
      <c r="K2" s="54" t="s">
        <v>729</v>
      </c>
      <c r="L2" s="54" t="s">
        <v>987</v>
      </c>
      <c r="X2" s="58" t="str">
        <f t="shared" ref="X2:X60" si="0">IF(R2&lt;&gt;0,IF(R2&gt;1,R2/100,R2),IF(U2&lt;&gt;0,IF(U2&gt;1,U2/100,U2),""))</f>
        <v/>
      </c>
      <c r="Y2" s="72">
        <v>1616</v>
      </c>
      <c r="Z2" s="63" t="str">
        <f t="shared" ref="Z2:Z33" si="1">IF(X2&lt;&gt;"",IF(X2&lt;0.9,"S","F"),"")</f>
        <v/>
      </c>
    </row>
    <row r="3" spans="1:33">
      <c r="A3" s="164"/>
      <c r="B3" s="162" t="s">
        <v>988</v>
      </c>
      <c r="C3" s="163">
        <v>1993</v>
      </c>
      <c r="D3" s="164"/>
      <c r="E3" s="162" t="s">
        <v>172</v>
      </c>
      <c r="F3" s="163">
        <v>1990</v>
      </c>
      <c r="G3" s="164"/>
      <c r="H3" s="164" t="s">
        <v>264</v>
      </c>
      <c r="I3" s="67" t="s">
        <v>1014</v>
      </c>
      <c r="J3" s="58" t="s">
        <v>1022</v>
      </c>
      <c r="K3" s="54" t="s">
        <v>1047</v>
      </c>
      <c r="L3" s="67" t="s">
        <v>737</v>
      </c>
      <c r="M3" s="163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58" t="str">
        <f t="shared" si="0"/>
        <v/>
      </c>
      <c r="Y3" s="218">
        <v>1640</v>
      </c>
      <c r="Z3" s="63" t="str">
        <f t="shared" si="1"/>
        <v/>
      </c>
    </row>
    <row r="4" spans="1:33">
      <c r="A4" s="53">
        <v>174</v>
      </c>
      <c r="B4" s="54" t="s">
        <v>697</v>
      </c>
      <c r="C4" s="54">
        <v>2009</v>
      </c>
      <c r="D4" s="55" t="s">
        <v>698</v>
      </c>
      <c r="E4" s="56" t="s">
        <v>20</v>
      </c>
      <c r="F4" s="57" t="s">
        <v>701</v>
      </c>
      <c r="G4" s="54" t="s">
        <v>263</v>
      </c>
      <c r="H4" s="54" t="s">
        <v>264</v>
      </c>
      <c r="I4" s="54"/>
      <c r="J4" s="160" t="s">
        <v>1022</v>
      </c>
      <c r="K4" s="54" t="s">
        <v>1047</v>
      </c>
      <c r="L4" s="54" t="s">
        <v>737</v>
      </c>
      <c r="M4" s="59"/>
      <c r="N4" s="59"/>
      <c r="O4" s="54" t="s">
        <v>737</v>
      </c>
      <c r="P4" s="60"/>
      <c r="Q4" s="60"/>
      <c r="R4" s="54"/>
      <c r="S4" s="54"/>
      <c r="T4" s="54"/>
      <c r="U4" s="61">
        <v>0.95699999999999996</v>
      </c>
      <c r="V4" s="167"/>
      <c r="W4" s="167"/>
      <c r="X4" s="58">
        <f t="shared" si="0"/>
        <v>0.95699999999999996</v>
      </c>
      <c r="Y4" s="219">
        <v>1588</v>
      </c>
      <c r="Z4" s="63" t="str">
        <f t="shared" si="1"/>
        <v>F</v>
      </c>
      <c r="AA4" s="183"/>
      <c r="AB4" s="184" t="s">
        <v>1206</v>
      </c>
      <c r="AC4" s="184" t="s">
        <v>1207</v>
      </c>
      <c r="AD4" s="184" t="s">
        <v>1208</v>
      </c>
      <c r="AE4" s="184" t="s">
        <v>1209</v>
      </c>
      <c r="AF4" s="184" t="s">
        <v>1210</v>
      </c>
      <c r="AG4" s="184" t="s">
        <v>1211</v>
      </c>
    </row>
    <row r="5" spans="1:33">
      <c r="A5" s="53">
        <v>203</v>
      </c>
      <c r="B5" s="64" t="s">
        <v>940</v>
      </c>
      <c r="C5" s="96">
        <v>2011</v>
      </c>
      <c r="D5" s="64" t="s">
        <v>941</v>
      </c>
      <c r="E5" s="56" t="s">
        <v>20</v>
      </c>
      <c r="F5" s="54">
        <v>2009</v>
      </c>
      <c r="G5" s="54" t="s">
        <v>326</v>
      </c>
      <c r="H5" s="54"/>
      <c r="I5" s="54"/>
      <c r="J5" s="160" t="s">
        <v>1022</v>
      </c>
      <c r="K5" s="54" t="s">
        <v>1047</v>
      </c>
      <c r="L5" s="54" t="s">
        <v>737</v>
      </c>
      <c r="M5" s="54"/>
      <c r="N5" s="54"/>
      <c r="O5" s="54">
        <v>66</v>
      </c>
      <c r="P5" s="54"/>
      <c r="Q5" s="54"/>
      <c r="R5" s="54"/>
      <c r="S5" s="54"/>
      <c r="T5" s="54"/>
      <c r="U5" s="54">
        <v>0.95</v>
      </c>
      <c r="V5" s="54"/>
      <c r="W5" s="54"/>
      <c r="X5" s="58">
        <f t="shared" si="0"/>
        <v>0.95</v>
      </c>
      <c r="Y5" s="72">
        <v>1847</v>
      </c>
      <c r="Z5" s="63" t="str">
        <f t="shared" si="1"/>
        <v>F</v>
      </c>
      <c r="AA5" s="184" t="s">
        <v>1346</v>
      </c>
      <c r="AB5" s="186">
        <f>AVERAGE($Y$2:$Y$19)</f>
        <v>1605.5555555555557</v>
      </c>
      <c r="AC5" s="186">
        <f>MEDIAN($Y$2:$Y$19)</f>
        <v>1585</v>
      </c>
      <c r="AD5" s="186">
        <f>MAX($Y$2:$Y$19)</f>
        <v>1847</v>
      </c>
      <c r="AE5" s="186">
        <f>MIN($Y$2:$Y$19)</f>
        <v>1436</v>
      </c>
      <c r="AF5" s="186">
        <f>STDEV($Y$2:$Y$19)</f>
        <v>88.042918826874185</v>
      </c>
      <c r="AG5" s="186">
        <f>COUNT($Y$2:$Y$19)</f>
        <v>18</v>
      </c>
    </row>
    <row r="6" spans="1:33">
      <c r="A6" s="53">
        <v>119</v>
      </c>
      <c r="B6" s="60" t="s">
        <v>399</v>
      </c>
      <c r="C6" s="60">
        <v>2000</v>
      </c>
      <c r="D6" s="60" t="s">
        <v>407</v>
      </c>
      <c r="E6" s="56" t="s">
        <v>410</v>
      </c>
      <c r="F6" s="69">
        <v>35603</v>
      </c>
      <c r="G6" s="54" t="s">
        <v>422</v>
      </c>
      <c r="H6" s="54" t="s">
        <v>264</v>
      </c>
      <c r="I6" s="54" t="s">
        <v>1014</v>
      </c>
      <c r="J6" s="66" t="s">
        <v>1022</v>
      </c>
      <c r="K6" s="54" t="s">
        <v>1047</v>
      </c>
      <c r="L6" s="54" t="s">
        <v>419</v>
      </c>
      <c r="M6" s="54" t="s">
        <v>265</v>
      </c>
      <c r="N6" s="60"/>
      <c r="O6" s="60" t="s">
        <v>423</v>
      </c>
      <c r="P6" s="54"/>
      <c r="Q6" s="54"/>
      <c r="R6" s="60"/>
      <c r="S6" s="60"/>
      <c r="T6" s="60"/>
      <c r="U6" s="54">
        <v>0.92900000000000005</v>
      </c>
      <c r="V6" s="60"/>
      <c r="W6" s="60"/>
      <c r="X6" s="58">
        <f t="shared" si="0"/>
        <v>0.92900000000000005</v>
      </c>
      <c r="Y6" s="72">
        <v>1688</v>
      </c>
      <c r="Z6" s="63" t="str">
        <f t="shared" si="1"/>
        <v>F</v>
      </c>
      <c r="AA6" s="184" t="s">
        <v>1339</v>
      </c>
      <c r="AB6" s="186">
        <f>AVERAGE($Y$4:$Y$9)</f>
        <v>1689.8333333333333</v>
      </c>
      <c r="AC6" s="186">
        <f>MEDIAN($Y$4:$Y$9)</f>
        <v>1673.5</v>
      </c>
      <c r="AD6" s="186">
        <f>MAX($Y$4:$Y$9)</f>
        <v>1847</v>
      </c>
      <c r="AE6" s="186">
        <f>MIN($Y$4:$Y$9)</f>
        <v>1588</v>
      </c>
      <c r="AF6" s="186">
        <f>STDEV($Y$4:$Y$9)</f>
        <v>86.69813531251215</v>
      </c>
      <c r="AG6" s="186">
        <f>COUNT($Y$4:$Y$9)</f>
        <v>6</v>
      </c>
    </row>
    <row r="7" spans="1:33">
      <c r="A7" s="53">
        <v>119</v>
      </c>
      <c r="B7" s="60" t="s">
        <v>399</v>
      </c>
      <c r="C7" s="60">
        <v>2000</v>
      </c>
      <c r="D7" s="60" t="s">
        <v>407</v>
      </c>
      <c r="E7" s="56" t="s">
        <v>410</v>
      </c>
      <c r="F7" s="54" t="s">
        <v>424</v>
      </c>
      <c r="G7" s="54" t="s">
        <v>425</v>
      </c>
      <c r="H7" s="54" t="s">
        <v>264</v>
      </c>
      <c r="I7" s="54" t="s">
        <v>1014</v>
      </c>
      <c r="J7" s="66" t="s">
        <v>1022</v>
      </c>
      <c r="K7" s="54" t="s">
        <v>1047</v>
      </c>
      <c r="L7" s="54" t="s">
        <v>419</v>
      </c>
      <c r="M7" s="54" t="s">
        <v>265</v>
      </c>
      <c r="N7" s="54" t="s">
        <v>420</v>
      </c>
      <c r="O7" s="60" t="s">
        <v>426</v>
      </c>
      <c r="P7" s="54"/>
      <c r="Q7" s="54"/>
      <c r="R7" s="60"/>
      <c r="S7" s="60"/>
      <c r="T7" s="60"/>
      <c r="U7" s="54">
        <v>0.91700000000000004</v>
      </c>
      <c r="V7" s="60"/>
      <c r="W7" s="60"/>
      <c r="X7" s="58">
        <f t="shared" si="0"/>
        <v>0.91700000000000004</v>
      </c>
      <c r="Y7" s="72">
        <v>1659</v>
      </c>
      <c r="Z7" s="63" t="str">
        <f t="shared" si="1"/>
        <v>F</v>
      </c>
      <c r="AA7" s="184" t="s">
        <v>1340</v>
      </c>
      <c r="AB7" s="186">
        <f>AVERAGE($Y$10:$Y$17)</f>
        <v>1570.125</v>
      </c>
      <c r="AC7" s="186">
        <f>MEDIAN($Y$10:$Y$17)</f>
        <v>1572.5</v>
      </c>
      <c r="AD7" s="186">
        <f>MAX($Y$10:$Y$17)</f>
        <v>1594</v>
      </c>
      <c r="AE7" s="186">
        <f>MIN($Y$10:$Y$17)</f>
        <v>1537</v>
      </c>
      <c r="AF7" s="186">
        <f>STDEV($Y$10:$Y$17)</f>
        <v>16.788069743549606</v>
      </c>
      <c r="AG7" s="186">
        <f>COUNT($Y$10:$Y$17)</f>
        <v>8</v>
      </c>
    </row>
    <row r="8" spans="1:33">
      <c r="A8" s="53">
        <v>119</v>
      </c>
      <c r="B8" s="60" t="s">
        <v>399</v>
      </c>
      <c r="C8" s="60">
        <v>2000</v>
      </c>
      <c r="D8" s="60" t="s">
        <v>407</v>
      </c>
      <c r="E8" s="56" t="s">
        <v>410</v>
      </c>
      <c r="F8" s="54" t="s">
        <v>417</v>
      </c>
      <c r="G8" s="54" t="s">
        <v>418</v>
      </c>
      <c r="H8" s="54" t="s">
        <v>264</v>
      </c>
      <c r="I8" s="54" t="s">
        <v>1014</v>
      </c>
      <c r="J8" s="66" t="s">
        <v>1022</v>
      </c>
      <c r="K8" s="54" t="s">
        <v>1047</v>
      </c>
      <c r="L8" s="54" t="s">
        <v>419</v>
      </c>
      <c r="M8" s="54" t="s">
        <v>265</v>
      </c>
      <c r="N8" s="54" t="s">
        <v>420</v>
      </c>
      <c r="O8" s="54" t="s">
        <v>421</v>
      </c>
      <c r="P8" s="54"/>
      <c r="Q8" s="54"/>
      <c r="R8" s="54"/>
      <c r="S8" s="54"/>
      <c r="T8" s="54"/>
      <c r="U8" s="54">
        <v>0.91600000000000004</v>
      </c>
      <c r="V8" s="54"/>
      <c r="W8" s="54"/>
      <c r="X8" s="58">
        <f t="shared" si="0"/>
        <v>0.91600000000000004</v>
      </c>
      <c r="Y8" s="72">
        <v>1653</v>
      </c>
      <c r="Z8" s="63" t="str">
        <f t="shared" si="1"/>
        <v>F</v>
      </c>
    </row>
    <row r="9" spans="1:33">
      <c r="A9" s="53">
        <v>203</v>
      </c>
      <c r="B9" s="64" t="s">
        <v>940</v>
      </c>
      <c r="C9" s="96">
        <v>2011</v>
      </c>
      <c r="D9" s="64" t="s">
        <v>941</v>
      </c>
      <c r="E9" s="56" t="s">
        <v>20</v>
      </c>
      <c r="F9" s="54">
        <v>2009</v>
      </c>
      <c r="G9" s="54" t="s">
        <v>326</v>
      </c>
      <c r="H9" s="54"/>
      <c r="I9" s="54"/>
      <c r="J9" s="160" t="s">
        <v>1022</v>
      </c>
      <c r="K9" s="54" t="s">
        <v>1114</v>
      </c>
      <c r="L9" s="54" t="s">
        <v>744</v>
      </c>
      <c r="M9" s="54"/>
      <c r="N9" s="54"/>
      <c r="O9" s="54">
        <v>55</v>
      </c>
      <c r="P9" s="54"/>
      <c r="Q9" s="54"/>
      <c r="R9" s="54"/>
      <c r="S9" s="54"/>
      <c r="T9" s="54"/>
      <c r="U9" s="54">
        <v>0.94</v>
      </c>
      <c r="V9" s="54"/>
      <c r="W9" s="54"/>
      <c r="X9" s="58">
        <f t="shared" si="0"/>
        <v>0.94</v>
      </c>
      <c r="Y9" s="72">
        <v>1704</v>
      </c>
      <c r="Z9" s="63" t="str">
        <f t="shared" si="1"/>
        <v>F</v>
      </c>
    </row>
    <row r="10" spans="1:33">
      <c r="A10" s="58"/>
      <c r="B10" s="73" t="s">
        <v>766</v>
      </c>
      <c r="C10" s="54">
        <v>2013</v>
      </c>
      <c r="D10" s="58"/>
      <c r="E10" s="56" t="s">
        <v>172</v>
      </c>
      <c r="F10" s="54">
        <v>2011</v>
      </c>
      <c r="G10" s="54" t="s">
        <v>970</v>
      </c>
      <c r="H10" s="58" t="s">
        <v>302</v>
      </c>
      <c r="I10" s="58"/>
      <c r="J10" s="74" t="s">
        <v>1022</v>
      </c>
      <c r="K10" s="74" t="s">
        <v>1114</v>
      </c>
      <c r="L10" s="54" t="s">
        <v>973</v>
      </c>
      <c r="M10" s="58"/>
      <c r="N10" s="58"/>
      <c r="O10" s="66" t="s">
        <v>971</v>
      </c>
      <c r="P10" s="58"/>
      <c r="Q10" s="58"/>
      <c r="R10" s="58"/>
      <c r="S10" s="58"/>
      <c r="T10" s="58"/>
      <c r="U10" s="54">
        <v>0.879</v>
      </c>
      <c r="V10" s="58"/>
      <c r="W10" s="58"/>
      <c r="X10" s="58">
        <f t="shared" si="0"/>
        <v>0.879</v>
      </c>
      <c r="Y10" s="72">
        <v>1594</v>
      </c>
      <c r="Z10" s="63" t="str">
        <f t="shared" si="1"/>
        <v>S</v>
      </c>
    </row>
    <row r="11" spans="1:33">
      <c r="A11" s="58"/>
      <c r="B11" s="73" t="s">
        <v>766</v>
      </c>
      <c r="C11" s="54">
        <v>2013</v>
      </c>
      <c r="D11" s="58"/>
      <c r="E11" s="56" t="s">
        <v>172</v>
      </c>
      <c r="F11" s="54">
        <v>2011</v>
      </c>
      <c r="G11" s="54" t="s">
        <v>970</v>
      </c>
      <c r="H11" s="58" t="s">
        <v>302</v>
      </c>
      <c r="I11" s="58"/>
      <c r="J11" s="74" t="s">
        <v>1022</v>
      </c>
      <c r="K11" s="74" t="s">
        <v>1114</v>
      </c>
      <c r="L11" s="54" t="s">
        <v>973</v>
      </c>
      <c r="M11" s="58"/>
      <c r="N11" s="58"/>
      <c r="O11" s="66" t="s">
        <v>971</v>
      </c>
      <c r="P11" s="58"/>
      <c r="Q11" s="58"/>
      <c r="R11" s="58"/>
      <c r="S11" s="58"/>
      <c r="T11" s="58"/>
      <c r="U11" s="54">
        <v>0.873</v>
      </c>
      <c r="V11" s="58"/>
      <c r="W11" s="58"/>
      <c r="X11" s="58">
        <f t="shared" si="0"/>
        <v>0.873</v>
      </c>
      <c r="Y11" s="72">
        <v>1582</v>
      </c>
      <c r="Z11" s="63" t="str">
        <f t="shared" si="1"/>
        <v>S</v>
      </c>
    </row>
    <row r="12" spans="1:33">
      <c r="A12" s="58"/>
      <c r="B12" s="73" t="s">
        <v>766</v>
      </c>
      <c r="C12" s="54">
        <v>2013</v>
      </c>
      <c r="D12" s="58"/>
      <c r="E12" s="56" t="s">
        <v>172</v>
      </c>
      <c r="F12" s="54">
        <v>2011</v>
      </c>
      <c r="G12" s="54" t="s">
        <v>970</v>
      </c>
      <c r="H12" s="58" t="s">
        <v>302</v>
      </c>
      <c r="I12" s="58"/>
      <c r="J12" s="74" t="s">
        <v>1022</v>
      </c>
      <c r="K12" s="74" t="s">
        <v>1114</v>
      </c>
      <c r="L12" s="54" t="s">
        <v>973</v>
      </c>
      <c r="M12" s="58"/>
      <c r="N12" s="58"/>
      <c r="O12" s="66" t="s">
        <v>971</v>
      </c>
      <c r="P12" s="58"/>
      <c r="Q12" s="58"/>
      <c r="R12" s="58"/>
      <c r="S12" s="58"/>
      <c r="T12" s="58"/>
      <c r="U12" s="54">
        <v>0.86899999999999999</v>
      </c>
      <c r="V12" s="58"/>
      <c r="W12" s="58"/>
      <c r="X12" s="58">
        <f t="shared" si="0"/>
        <v>0.86899999999999999</v>
      </c>
      <c r="Y12" s="72">
        <v>1575</v>
      </c>
      <c r="Z12" s="63" t="str">
        <f t="shared" si="1"/>
        <v>S</v>
      </c>
    </row>
    <row r="13" spans="1:33">
      <c r="A13" s="58"/>
      <c r="B13" s="73" t="s">
        <v>766</v>
      </c>
      <c r="C13" s="54">
        <v>2013</v>
      </c>
      <c r="D13" s="58"/>
      <c r="E13" s="56" t="s">
        <v>172</v>
      </c>
      <c r="F13" s="54">
        <v>2011</v>
      </c>
      <c r="G13" s="54" t="s">
        <v>970</v>
      </c>
      <c r="H13" s="58" t="s">
        <v>302</v>
      </c>
      <c r="I13" s="58"/>
      <c r="J13" s="74" t="s">
        <v>1022</v>
      </c>
      <c r="K13" s="74" t="s">
        <v>1114</v>
      </c>
      <c r="L13" s="54" t="s">
        <v>973</v>
      </c>
      <c r="M13" s="58"/>
      <c r="N13" s="58"/>
      <c r="O13" s="66" t="s">
        <v>971</v>
      </c>
      <c r="P13" s="58"/>
      <c r="Q13" s="58"/>
      <c r="R13" s="58"/>
      <c r="S13" s="58"/>
      <c r="T13" s="58"/>
      <c r="U13" s="54">
        <v>0.86799999999999999</v>
      </c>
      <c r="V13" s="58"/>
      <c r="W13" s="58"/>
      <c r="X13" s="58">
        <f t="shared" si="0"/>
        <v>0.86799999999999999</v>
      </c>
      <c r="Y13" s="72">
        <v>1571</v>
      </c>
      <c r="Z13" s="63" t="str">
        <f t="shared" si="1"/>
        <v>S</v>
      </c>
    </row>
    <row r="14" spans="1:33">
      <c r="A14" s="58"/>
      <c r="B14" s="73" t="s">
        <v>766</v>
      </c>
      <c r="C14" s="54">
        <v>2013</v>
      </c>
      <c r="D14" s="58"/>
      <c r="E14" s="56" t="s">
        <v>172</v>
      </c>
      <c r="F14" s="54">
        <v>2011</v>
      </c>
      <c r="G14" s="54" t="s">
        <v>970</v>
      </c>
      <c r="H14" s="58" t="s">
        <v>302</v>
      </c>
      <c r="I14" s="58"/>
      <c r="J14" s="74" t="s">
        <v>1022</v>
      </c>
      <c r="K14" s="74" t="s">
        <v>1114</v>
      </c>
      <c r="L14" s="54" t="s">
        <v>973</v>
      </c>
      <c r="M14" s="58"/>
      <c r="N14" s="58"/>
      <c r="O14" s="66" t="s">
        <v>971</v>
      </c>
      <c r="P14" s="58"/>
      <c r="Q14" s="58"/>
      <c r="R14" s="58"/>
      <c r="S14" s="58"/>
      <c r="T14" s="58"/>
      <c r="U14" s="54">
        <v>0.86799999999999999</v>
      </c>
      <c r="V14" s="58"/>
      <c r="W14" s="58"/>
      <c r="X14" s="58">
        <f t="shared" si="0"/>
        <v>0.86799999999999999</v>
      </c>
      <c r="Y14" s="72">
        <v>1574</v>
      </c>
      <c r="Z14" s="63" t="str">
        <f t="shared" si="1"/>
        <v>S</v>
      </c>
    </row>
    <row r="15" spans="1:33">
      <c r="A15" s="58"/>
      <c r="B15" s="73" t="s">
        <v>766</v>
      </c>
      <c r="C15" s="54">
        <v>2013</v>
      </c>
      <c r="D15" s="58"/>
      <c r="E15" s="56" t="s">
        <v>172</v>
      </c>
      <c r="F15" s="54">
        <v>2011</v>
      </c>
      <c r="G15" s="54" t="s">
        <v>970</v>
      </c>
      <c r="H15" s="58" t="s">
        <v>302</v>
      </c>
      <c r="I15" s="58"/>
      <c r="J15" s="74" t="s">
        <v>1022</v>
      </c>
      <c r="K15" s="74" t="s">
        <v>1114</v>
      </c>
      <c r="L15" s="54" t="s">
        <v>973</v>
      </c>
      <c r="M15" s="58"/>
      <c r="N15" s="58"/>
      <c r="O15" s="66" t="s">
        <v>971</v>
      </c>
      <c r="P15" s="58"/>
      <c r="Q15" s="58"/>
      <c r="R15" s="58"/>
      <c r="S15" s="58"/>
      <c r="T15" s="58"/>
      <c r="U15" s="54">
        <v>0.86499999999999999</v>
      </c>
      <c r="V15" s="58"/>
      <c r="W15" s="58"/>
      <c r="X15" s="58">
        <f t="shared" si="0"/>
        <v>0.86499999999999999</v>
      </c>
      <c r="Y15" s="72">
        <v>1569</v>
      </c>
      <c r="Z15" s="63" t="str">
        <f t="shared" si="1"/>
        <v>S</v>
      </c>
    </row>
    <row r="16" spans="1:33">
      <c r="A16" s="58"/>
      <c r="B16" s="73" t="s">
        <v>766</v>
      </c>
      <c r="C16" s="54">
        <v>2013</v>
      </c>
      <c r="D16" s="58"/>
      <c r="E16" s="56" t="s">
        <v>172</v>
      </c>
      <c r="F16" s="54">
        <v>2011</v>
      </c>
      <c r="G16" s="54" t="s">
        <v>970</v>
      </c>
      <c r="H16" s="58" t="s">
        <v>302</v>
      </c>
      <c r="I16" s="58"/>
      <c r="J16" s="74" t="s">
        <v>1022</v>
      </c>
      <c r="K16" s="74" t="s">
        <v>1114</v>
      </c>
      <c r="L16" s="54" t="s">
        <v>973</v>
      </c>
      <c r="M16" s="58"/>
      <c r="N16" s="58"/>
      <c r="O16" s="66" t="s">
        <v>971</v>
      </c>
      <c r="P16" s="58"/>
      <c r="Q16" s="58"/>
      <c r="R16" s="58"/>
      <c r="S16" s="58"/>
      <c r="T16" s="58"/>
      <c r="U16" s="54">
        <v>0.86099999999999999</v>
      </c>
      <c r="V16" s="58"/>
      <c r="W16" s="58"/>
      <c r="X16" s="58">
        <f t="shared" si="0"/>
        <v>0.86099999999999999</v>
      </c>
      <c r="Y16" s="72">
        <v>1559</v>
      </c>
      <c r="Z16" s="63" t="str">
        <f t="shared" si="1"/>
        <v>S</v>
      </c>
    </row>
    <row r="17" spans="1:38">
      <c r="A17" s="58"/>
      <c r="B17" s="73" t="s">
        <v>766</v>
      </c>
      <c r="C17" s="54">
        <v>2013</v>
      </c>
      <c r="D17" s="58"/>
      <c r="E17" s="56" t="s">
        <v>172</v>
      </c>
      <c r="F17" s="54">
        <v>2011</v>
      </c>
      <c r="G17" s="54" t="s">
        <v>970</v>
      </c>
      <c r="H17" s="58" t="s">
        <v>302</v>
      </c>
      <c r="I17" s="58"/>
      <c r="J17" s="74" t="s">
        <v>1022</v>
      </c>
      <c r="K17" s="74" t="s">
        <v>1114</v>
      </c>
      <c r="L17" s="54" t="s">
        <v>973</v>
      </c>
      <c r="M17" s="58"/>
      <c r="N17" s="58"/>
      <c r="O17" s="66" t="s">
        <v>971</v>
      </c>
      <c r="P17" s="58"/>
      <c r="Q17" s="58"/>
      <c r="R17" s="58"/>
      <c r="S17" s="58"/>
      <c r="T17" s="58"/>
      <c r="U17" s="54">
        <v>0.85</v>
      </c>
      <c r="V17" s="58"/>
      <c r="W17" s="58"/>
      <c r="X17" s="58">
        <f t="shared" si="0"/>
        <v>0.85</v>
      </c>
      <c r="Y17" s="72">
        <v>1537</v>
      </c>
      <c r="Z17" s="63" t="str">
        <f t="shared" si="1"/>
        <v>S</v>
      </c>
    </row>
    <row r="18" spans="1:38">
      <c r="A18" s="53">
        <v>121</v>
      </c>
      <c r="B18" s="65" t="s">
        <v>427</v>
      </c>
      <c r="C18" s="65">
        <v>2002</v>
      </c>
      <c r="D18" s="65" t="s">
        <v>428</v>
      </c>
      <c r="E18" s="56" t="s">
        <v>430</v>
      </c>
      <c r="F18" s="54">
        <v>2002</v>
      </c>
      <c r="G18" s="54" t="s">
        <v>448</v>
      </c>
      <c r="H18" s="54"/>
      <c r="I18" s="54"/>
      <c r="J18" s="54" t="s">
        <v>1022</v>
      </c>
      <c r="K18" s="54" t="s">
        <v>1161</v>
      </c>
      <c r="L18" s="54" t="s">
        <v>435</v>
      </c>
      <c r="M18" s="54" t="s">
        <v>449</v>
      </c>
      <c r="N18" s="54" t="s">
        <v>450</v>
      </c>
      <c r="O18" s="54" t="s">
        <v>451</v>
      </c>
      <c r="P18" s="54"/>
      <c r="Q18" s="54"/>
      <c r="R18" s="54"/>
      <c r="S18" s="54"/>
      <c r="T18" s="54"/>
      <c r="U18" s="54"/>
      <c r="V18" s="54"/>
      <c r="W18" s="54"/>
      <c r="X18" s="58" t="str">
        <f t="shared" si="0"/>
        <v/>
      </c>
      <c r="Y18" s="72">
        <v>1436</v>
      </c>
      <c r="Z18" s="63" t="str">
        <f t="shared" si="1"/>
        <v/>
      </c>
    </row>
    <row r="19" spans="1:38">
      <c r="A19" s="53">
        <v>63</v>
      </c>
      <c r="B19" s="65" t="s">
        <v>168</v>
      </c>
      <c r="C19" s="65">
        <v>1989</v>
      </c>
      <c r="D19" s="65" t="s">
        <v>169</v>
      </c>
      <c r="E19" s="76" t="s">
        <v>172</v>
      </c>
      <c r="F19" s="77">
        <v>32367</v>
      </c>
      <c r="G19" s="54" t="s">
        <v>185</v>
      </c>
      <c r="H19" s="78" t="s">
        <v>986</v>
      </c>
      <c r="I19" s="78"/>
      <c r="J19" s="58" t="s">
        <v>1022</v>
      </c>
      <c r="K19" s="78" t="s">
        <v>1041</v>
      </c>
      <c r="L19" s="79"/>
      <c r="M19" s="79"/>
      <c r="N19" s="79"/>
      <c r="O19" s="79" t="s">
        <v>186</v>
      </c>
      <c r="P19" s="79"/>
      <c r="Q19" s="79"/>
      <c r="R19" s="54"/>
      <c r="S19" s="54"/>
      <c r="T19" s="54"/>
      <c r="U19" s="80"/>
      <c r="V19" s="80"/>
      <c r="W19" s="80"/>
      <c r="X19" s="58" t="str">
        <f t="shared" si="0"/>
        <v/>
      </c>
      <c r="Y19" s="220">
        <v>1508</v>
      </c>
      <c r="Z19" s="63" t="str">
        <f t="shared" si="1"/>
        <v/>
      </c>
    </row>
    <row r="20" spans="1:38" s="107" customFormat="1">
      <c r="A20" s="97">
        <v>121</v>
      </c>
      <c r="B20" s="103" t="s">
        <v>427</v>
      </c>
      <c r="C20" s="103">
        <v>2002</v>
      </c>
      <c r="D20" s="103" t="s">
        <v>428</v>
      </c>
      <c r="E20" s="99" t="s">
        <v>430</v>
      </c>
      <c r="F20" s="98">
        <v>2002</v>
      </c>
      <c r="G20" s="98" t="s">
        <v>434</v>
      </c>
      <c r="H20" s="98"/>
      <c r="I20" s="98"/>
      <c r="J20" s="98" t="s">
        <v>1059</v>
      </c>
      <c r="K20" s="98" t="s">
        <v>1140</v>
      </c>
      <c r="L20" s="98" t="s">
        <v>435</v>
      </c>
      <c r="M20" s="109" t="s">
        <v>436</v>
      </c>
      <c r="N20" s="98" t="s">
        <v>437</v>
      </c>
      <c r="O20" s="98" t="s">
        <v>438</v>
      </c>
      <c r="P20" s="98"/>
      <c r="Q20" s="98"/>
      <c r="R20" s="98"/>
      <c r="S20" s="98"/>
      <c r="T20" s="98"/>
      <c r="U20" s="98"/>
      <c r="V20" s="98"/>
      <c r="W20" s="98"/>
      <c r="X20" s="101" t="str">
        <f t="shared" si="0"/>
        <v/>
      </c>
      <c r="Y20" s="111">
        <v>1448</v>
      </c>
      <c r="Z20" s="106" t="str">
        <f t="shared" si="1"/>
        <v/>
      </c>
      <c r="AA20" s="187"/>
      <c r="AB20" s="188" t="s">
        <v>1206</v>
      </c>
      <c r="AC20" s="188" t="s">
        <v>1207</v>
      </c>
      <c r="AD20" s="188" t="s">
        <v>1208</v>
      </c>
      <c r="AE20" s="188" t="s">
        <v>1209</v>
      </c>
      <c r="AF20" s="188" t="s">
        <v>1210</v>
      </c>
      <c r="AG20" s="188" t="s">
        <v>1211</v>
      </c>
      <c r="AH20" s="174"/>
      <c r="AI20" s="174"/>
      <c r="AJ20" s="174"/>
      <c r="AK20" s="174"/>
      <c r="AL20" s="174"/>
    </row>
    <row r="21" spans="1:38" s="107" customFormat="1">
      <c r="A21" s="97">
        <v>174</v>
      </c>
      <c r="B21" s="98" t="s">
        <v>697</v>
      </c>
      <c r="C21" s="98">
        <v>2009</v>
      </c>
      <c r="D21" s="108" t="s">
        <v>698</v>
      </c>
      <c r="E21" s="99" t="s">
        <v>20</v>
      </c>
      <c r="F21" s="100" t="s">
        <v>701</v>
      </c>
      <c r="G21" s="98" t="s">
        <v>726</v>
      </c>
      <c r="H21" s="98" t="s">
        <v>264</v>
      </c>
      <c r="I21" s="98"/>
      <c r="J21" s="174" t="s">
        <v>1059</v>
      </c>
      <c r="K21" s="98" t="s">
        <v>1084</v>
      </c>
      <c r="L21" s="98" t="s">
        <v>728</v>
      </c>
      <c r="M21" s="109"/>
      <c r="N21" s="109"/>
      <c r="O21" s="98" t="s">
        <v>729</v>
      </c>
      <c r="P21" s="103"/>
      <c r="Q21" s="103"/>
      <c r="R21" s="98"/>
      <c r="S21" s="98"/>
      <c r="T21" s="98"/>
      <c r="U21" s="104">
        <v>0.91700000000000004</v>
      </c>
      <c r="V21" s="175"/>
      <c r="W21" s="175"/>
      <c r="X21" s="101">
        <f t="shared" si="0"/>
        <v>0.91700000000000004</v>
      </c>
      <c r="Y21" s="221">
        <v>1311</v>
      </c>
      <c r="Z21" s="106" t="str">
        <f t="shared" si="1"/>
        <v>F</v>
      </c>
      <c r="AA21" s="150" t="s">
        <v>1347</v>
      </c>
      <c r="AB21" s="307">
        <f>AVERAGE($Y$20:$Y$24)</f>
        <v>1302.5999999999999</v>
      </c>
      <c r="AC21" s="307">
        <f>MEDIAN($Y$20:$Y$24)</f>
        <v>1311</v>
      </c>
      <c r="AD21" s="307">
        <f>MAX($Y$20:$Y$24)</f>
        <v>1501</v>
      </c>
      <c r="AE21" s="307">
        <f>MIN($Y$20:$Y$24)</f>
        <v>1034</v>
      </c>
      <c r="AF21" s="307">
        <f>STDEV($Y$20:$Y$24)</f>
        <v>186.88846941424669</v>
      </c>
      <c r="AG21" s="307">
        <f>COUNT($Y$20:$Y$24)</f>
        <v>5</v>
      </c>
      <c r="AH21" s="174"/>
      <c r="AI21" s="174"/>
      <c r="AJ21" s="174"/>
      <c r="AK21" s="174"/>
      <c r="AL21" s="174"/>
    </row>
    <row r="22" spans="1:38" s="107" customFormat="1">
      <c r="A22" s="97">
        <v>203</v>
      </c>
      <c r="B22" s="123" t="s">
        <v>940</v>
      </c>
      <c r="C22" s="98">
        <v>2011</v>
      </c>
      <c r="D22" s="123" t="s">
        <v>941</v>
      </c>
      <c r="E22" s="99" t="s">
        <v>20</v>
      </c>
      <c r="F22" s="98">
        <v>2009</v>
      </c>
      <c r="G22" s="98" t="s">
        <v>326</v>
      </c>
      <c r="H22" s="98"/>
      <c r="I22" s="98"/>
      <c r="J22" s="174" t="s">
        <v>1059</v>
      </c>
      <c r="K22" s="98" t="s">
        <v>1060</v>
      </c>
      <c r="L22" s="98" t="s">
        <v>727</v>
      </c>
      <c r="M22" s="98"/>
      <c r="N22" s="98"/>
      <c r="O22" s="98">
        <v>51</v>
      </c>
      <c r="P22" s="98"/>
      <c r="Q22" s="98"/>
      <c r="R22" s="98"/>
      <c r="S22" s="98"/>
      <c r="T22" s="98"/>
      <c r="U22" s="98">
        <v>0.91</v>
      </c>
      <c r="V22" s="98"/>
      <c r="W22" s="98"/>
      <c r="X22" s="101">
        <f t="shared" si="0"/>
        <v>0.91</v>
      </c>
      <c r="Y22" s="111">
        <v>1501</v>
      </c>
      <c r="Z22" s="106" t="str">
        <f t="shared" si="1"/>
        <v>F</v>
      </c>
      <c r="AA22" s="309" t="s">
        <v>1341</v>
      </c>
      <c r="AB22" s="190">
        <f>AVERAGE($Y$21:$Y$22)</f>
        <v>1406</v>
      </c>
      <c r="AC22" s="190">
        <f>MEDIAN($Y$21:$Y$22)</f>
        <v>1406</v>
      </c>
      <c r="AD22" s="190">
        <f>MAX($Y$21:$Y$22)</f>
        <v>1501</v>
      </c>
      <c r="AE22" s="190">
        <f>MIN($Y$21:$Y$22)</f>
        <v>1311</v>
      </c>
      <c r="AF22" s="190">
        <f>STDEV($Y$21:$Y$22)</f>
        <v>134.35028842544403</v>
      </c>
      <c r="AG22" s="190">
        <f>COUNT($Y$21:$Y$22)</f>
        <v>2</v>
      </c>
      <c r="AH22" s="174"/>
      <c r="AI22" s="174"/>
      <c r="AJ22" s="174"/>
      <c r="AK22" s="174"/>
      <c r="AL22" s="174"/>
    </row>
    <row r="23" spans="1:38" s="107" customFormat="1">
      <c r="A23" s="97">
        <v>174</v>
      </c>
      <c r="B23" s="98" t="s">
        <v>697</v>
      </c>
      <c r="C23" s="98">
        <v>2009</v>
      </c>
      <c r="D23" s="108" t="s">
        <v>698</v>
      </c>
      <c r="E23" s="99" t="s">
        <v>20</v>
      </c>
      <c r="F23" s="100" t="s">
        <v>701</v>
      </c>
      <c r="G23" s="98" t="s">
        <v>726</v>
      </c>
      <c r="H23" s="98" t="s">
        <v>264</v>
      </c>
      <c r="I23" s="98"/>
      <c r="J23" s="174" t="s">
        <v>1059</v>
      </c>
      <c r="K23" s="98" t="s">
        <v>1060</v>
      </c>
      <c r="L23" s="98" t="s">
        <v>727</v>
      </c>
      <c r="M23" s="109"/>
      <c r="N23" s="109"/>
      <c r="O23" s="98" t="s">
        <v>727</v>
      </c>
      <c r="P23" s="103"/>
      <c r="Q23" s="103"/>
      <c r="R23" s="98"/>
      <c r="S23" s="98"/>
      <c r="T23" s="98"/>
      <c r="U23" s="104">
        <v>0.86699999999999999</v>
      </c>
      <c r="V23" s="175"/>
      <c r="W23" s="175"/>
      <c r="X23" s="101">
        <f t="shared" si="0"/>
        <v>0.86699999999999999</v>
      </c>
      <c r="Y23" s="221">
        <v>1034</v>
      </c>
      <c r="Z23" s="106" t="str">
        <f t="shared" si="1"/>
        <v>S</v>
      </c>
      <c r="AA23" s="309" t="s">
        <v>1342</v>
      </c>
      <c r="AB23" s="190">
        <f>AVERAGE($Y$23:$Y$24)</f>
        <v>1126.5</v>
      </c>
      <c r="AC23" s="190">
        <f>MEDIAN($Y$23:$Y$24)</f>
        <v>1126.5</v>
      </c>
      <c r="AD23" s="190">
        <f>MAX($Y$23:$Y$24)</f>
        <v>1219</v>
      </c>
      <c r="AE23" s="190">
        <f>MIN($Y$23:$Y$24)</f>
        <v>1034</v>
      </c>
      <c r="AF23" s="190">
        <f>STDEV($Y$23:$Y$24)</f>
        <v>130.8147545195113</v>
      </c>
      <c r="AG23" s="190">
        <f>COUNT($Y$23:$Y$24)</f>
        <v>2</v>
      </c>
      <c r="AH23" s="174"/>
      <c r="AI23" s="174"/>
      <c r="AJ23" s="174"/>
      <c r="AK23" s="174"/>
      <c r="AL23" s="174"/>
    </row>
    <row r="24" spans="1:38" s="107" customFormat="1">
      <c r="A24" s="97">
        <v>172</v>
      </c>
      <c r="B24" s="98" t="s">
        <v>585</v>
      </c>
      <c r="C24" s="98">
        <v>2010</v>
      </c>
      <c r="D24" s="98" t="s">
        <v>586</v>
      </c>
      <c r="E24" s="99" t="s">
        <v>589</v>
      </c>
      <c r="F24" s="100">
        <v>40233</v>
      </c>
      <c r="G24" s="98" t="s">
        <v>629</v>
      </c>
      <c r="H24" s="98" t="s">
        <v>264</v>
      </c>
      <c r="I24" s="98"/>
      <c r="J24" s="101" t="s">
        <v>1059</v>
      </c>
      <c r="K24" s="98" t="s">
        <v>1060</v>
      </c>
      <c r="L24" s="98" t="s">
        <v>630</v>
      </c>
      <c r="M24" s="102"/>
      <c r="N24" s="102"/>
      <c r="O24" s="98"/>
      <c r="P24" s="103"/>
      <c r="Q24" s="103"/>
      <c r="R24" s="98"/>
      <c r="S24" s="98"/>
      <c r="T24" s="98"/>
      <c r="U24" s="104">
        <v>0.82699999999999996</v>
      </c>
      <c r="V24" s="175"/>
      <c r="W24" s="175"/>
      <c r="X24" s="101">
        <f t="shared" si="0"/>
        <v>0.82699999999999996</v>
      </c>
      <c r="Y24" s="221">
        <v>1219</v>
      </c>
      <c r="Z24" s="106" t="str">
        <f t="shared" si="1"/>
        <v>S</v>
      </c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>
      <c r="A25" s="53">
        <v>119</v>
      </c>
      <c r="B25" s="60" t="s">
        <v>399</v>
      </c>
      <c r="C25" s="60">
        <v>2000</v>
      </c>
      <c r="D25" s="60" t="s">
        <v>407</v>
      </c>
      <c r="E25" s="56" t="s">
        <v>410</v>
      </c>
      <c r="F25" s="69">
        <v>35594</v>
      </c>
      <c r="G25" s="54" t="s">
        <v>411</v>
      </c>
      <c r="H25" s="54" t="s">
        <v>264</v>
      </c>
      <c r="I25" s="54" t="s">
        <v>1014</v>
      </c>
      <c r="J25" s="66" t="s">
        <v>1057</v>
      </c>
      <c r="K25" s="54" t="s">
        <v>1058</v>
      </c>
      <c r="L25" s="54" t="s">
        <v>413</v>
      </c>
      <c r="M25" s="54" t="s">
        <v>414</v>
      </c>
      <c r="N25" s="54" t="s">
        <v>415</v>
      </c>
      <c r="O25" s="54" t="s">
        <v>416</v>
      </c>
      <c r="P25" s="54"/>
      <c r="Q25" s="54"/>
      <c r="R25" s="54"/>
      <c r="S25" s="54"/>
      <c r="T25" s="54"/>
      <c r="U25" s="54">
        <v>0.92500000000000004</v>
      </c>
      <c r="V25" s="54"/>
      <c r="W25" s="54"/>
      <c r="X25" s="58">
        <f t="shared" si="0"/>
        <v>0.92500000000000004</v>
      </c>
      <c r="Y25" s="72">
        <v>1664</v>
      </c>
      <c r="Z25" s="63" t="str">
        <f t="shared" si="1"/>
        <v>F</v>
      </c>
    </row>
    <row r="26" spans="1:38" s="107" customFormat="1">
      <c r="A26" s="97">
        <v>94</v>
      </c>
      <c r="B26" s="103" t="s">
        <v>45</v>
      </c>
      <c r="C26" s="103">
        <v>1992</v>
      </c>
      <c r="D26" s="103" t="s">
        <v>276</v>
      </c>
      <c r="E26" s="99" t="s">
        <v>49</v>
      </c>
      <c r="F26" s="98">
        <v>1991</v>
      </c>
      <c r="G26" s="98" t="s">
        <v>279</v>
      </c>
      <c r="H26" s="98" t="s">
        <v>211</v>
      </c>
      <c r="I26" s="98"/>
      <c r="J26" s="98" t="s">
        <v>1048</v>
      </c>
      <c r="K26" s="98" t="s">
        <v>1136</v>
      </c>
      <c r="L26" s="98" t="s">
        <v>280</v>
      </c>
      <c r="M26" s="98"/>
      <c r="N26" s="98"/>
      <c r="O26" s="98" t="s">
        <v>284</v>
      </c>
      <c r="P26" s="98"/>
      <c r="Q26" s="98"/>
      <c r="R26" s="98">
        <v>0.96</v>
      </c>
      <c r="S26" s="98"/>
      <c r="T26" s="98"/>
      <c r="U26" s="98"/>
      <c r="V26" s="98"/>
      <c r="W26" s="98"/>
      <c r="X26" s="101">
        <f t="shared" si="0"/>
        <v>0.96</v>
      </c>
      <c r="Y26" s="111">
        <v>1759</v>
      </c>
      <c r="Z26" s="106" t="str">
        <f t="shared" si="1"/>
        <v>F</v>
      </c>
      <c r="AA26" s="187"/>
      <c r="AB26" s="188" t="s">
        <v>1206</v>
      </c>
      <c r="AC26" s="188" t="s">
        <v>1207</v>
      </c>
      <c r="AD26" s="188" t="s">
        <v>1208</v>
      </c>
      <c r="AE26" s="188" t="s">
        <v>1209</v>
      </c>
      <c r="AF26" s="188" t="s">
        <v>1210</v>
      </c>
      <c r="AG26" s="188" t="s">
        <v>1211</v>
      </c>
      <c r="AH26" s="174"/>
      <c r="AI26" s="174"/>
      <c r="AJ26" s="174"/>
      <c r="AK26" s="174"/>
      <c r="AL26" s="174"/>
    </row>
    <row r="27" spans="1:38" s="107" customFormat="1">
      <c r="A27" s="97">
        <v>94</v>
      </c>
      <c r="B27" s="103" t="s">
        <v>45</v>
      </c>
      <c r="C27" s="103">
        <v>1992</v>
      </c>
      <c r="D27" s="103" t="s">
        <v>276</v>
      </c>
      <c r="E27" s="99" t="s">
        <v>49</v>
      </c>
      <c r="F27" s="98">
        <v>1991</v>
      </c>
      <c r="G27" s="98" t="s">
        <v>279</v>
      </c>
      <c r="H27" s="98" t="s">
        <v>211</v>
      </c>
      <c r="I27" s="98"/>
      <c r="J27" s="98" t="s">
        <v>1048</v>
      </c>
      <c r="K27" s="98" t="s">
        <v>1136</v>
      </c>
      <c r="L27" s="98" t="s">
        <v>280</v>
      </c>
      <c r="M27" s="98"/>
      <c r="N27" s="98"/>
      <c r="O27" s="98" t="s">
        <v>287</v>
      </c>
      <c r="P27" s="98"/>
      <c r="Q27" s="98"/>
      <c r="R27" s="98">
        <v>0.94</v>
      </c>
      <c r="S27" s="98"/>
      <c r="T27" s="98"/>
      <c r="U27" s="98"/>
      <c r="V27" s="98"/>
      <c r="W27" s="98"/>
      <c r="X27" s="101">
        <f t="shared" si="0"/>
        <v>0.94</v>
      </c>
      <c r="Y27" s="111">
        <v>1722</v>
      </c>
      <c r="Z27" s="106" t="str">
        <f t="shared" si="1"/>
        <v>F</v>
      </c>
      <c r="AA27" s="307" t="s">
        <v>1348</v>
      </c>
      <c r="AB27" s="307">
        <f>AVERAGE($Y$26:$Y$41)</f>
        <v>1560.9375</v>
      </c>
      <c r="AC27" s="307">
        <f>MEDIAN($Y$26:$Y$41)</f>
        <v>1578.5</v>
      </c>
      <c r="AD27" s="307">
        <f>MAX($Y$26:$Y$41)</f>
        <v>1759</v>
      </c>
      <c r="AE27" s="307">
        <f>MIN($Y$26:$Y$41)</f>
        <v>1236</v>
      </c>
      <c r="AF27" s="307">
        <f>STDEV($Y$26:$Y$41)</f>
        <v>164.67400877693683</v>
      </c>
      <c r="AG27" s="307">
        <f>COUNT($Y$26:$Y$41)</f>
        <v>16</v>
      </c>
      <c r="AH27" s="174"/>
      <c r="AI27" s="174"/>
      <c r="AJ27" s="174"/>
      <c r="AK27" s="174"/>
      <c r="AL27" s="174"/>
    </row>
    <row r="28" spans="1:38" s="107" customFormat="1">
      <c r="A28" s="97">
        <v>94</v>
      </c>
      <c r="B28" s="103" t="s">
        <v>45</v>
      </c>
      <c r="C28" s="103">
        <v>1992</v>
      </c>
      <c r="D28" s="103" t="s">
        <v>276</v>
      </c>
      <c r="E28" s="99" t="s">
        <v>172</v>
      </c>
      <c r="F28" s="98">
        <v>1991</v>
      </c>
      <c r="G28" s="98" t="s">
        <v>279</v>
      </c>
      <c r="H28" s="98" t="s">
        <v>211</v>
      </c>
      <c r="I28" s="98"/>
      <c r="J28" s="98" t="s">
        <v>1048</v>
      </c>
      <c r="K28" s="98" t="s">
        <v>1136</v>
      </c>
      <c r="L28" s="98" t="s">
        <v>280</v>
      </c>
      <c r="M28" s="98"/>
      <c r="N28" s="98"/>
      <c r="O28" s="98" t="s">
        <v>295</v>
      </c>
      <c r="P28" s="98"/>
      <c r="Q28" s="98"/>
      <c r="R28" s="98">
        <v>0.94</v>
      </c>
      <c r="S28" s="98"/>
      <c r="T28" s="98"/>
      <c r="U28" s="98"/>
      <c r="V28" s="98"/>
      <c r="W28" s="98"/>
      <c r="X28" s="101">
        <f t="shared" si="0"/>
        <v>0.94</v>
      </c>
      <c r="Y28" s="111">
        <v>1715</v>
      </c>
      <c r="Z28" s="106" t="str">
        <f t="shared" si="1"/>
        <v>F</v>
      </c>
      <c r="AA28" s="190" t="s">
        <v>1343</v>
      </c>
      <c r="AB28" s="190">
        <f>AVERAGE($Y$26:$Y$31)</f>
        <v>1710.6666666666667</v>
      </c>
      <c r="AC28" s="190">
        <f>MEDIAN($Y$26:$Y$31)</f>
        <v>1713.5</v>
      </c>
      <c r="AD28" s="190">
        <f>MAX($Y$26:$Y$31)</f>
        <v>1759</v>
      </c>
      <c r="AE28" s="190">
        <f>MIN($Y$26:$Y$31)</f>
        <v>1660</v>
      </c>
      <c r="AF28" s="190">
        <f>STDEV($Y$26:$Y$31)</f>
        <v>32.457151240776916</v>
      </c>
      <c r="AG28" s="190">
        <f>COUNT($Y$26:$Y$31)</f>
        <v>6</v>
      </c>
      <c r="AH28" s="174"/>
      <c r="AI28" s="174"/>
      <c r="AJ28" s="174"/>
      <c r="AK28" s="174"/>
      <c r="AL28" s="174"/>
    </row>
    <row r="29" spans="1:38" s="107" customFormat="1">
      <c r="A29" s="97">
        <v>94</v>
      </c>
      <c r="B29" s="103" t="s">
        <v>45</v>
      </c>
      <c r="C29" s="103">
        <v>1992</v>
      </c>
      <c r="D29" s="103" t="s">
        <v>276</v>
      </c>
      <c r="E29" s="99" t="s">
        <v>49</v>
      </c>
      <c r="F29" s="98">
        <v>1991</v>
      </c>
      <c r="G29" s="98" t="s">
        <v>279</v>
      </c>
      <c r="H29" s="98" t="s">
        <v>211</v>
      </c>
      <c r="I29" s="98"/>
      <c r="J29" s="98" t="s">
        <v>1048</v>
      </c>
      <c r="K29" s="98" t="s">
        <v>1136</v>
      </c>
      <c r="L29" s="98" t="s">
        <v>280</v>
      </c>
      <c r="M29" s="98"/>
      <c r="N29" s="98"/>
      <c r="O29" s="98" t="s">
        <v>281</v>
      </c>
      <c r="P29" s="98"/>
      <c r="Q29" s="98"/>
      <c r="R29" s="98">
        <v>0.93</v>
      </c>
      <c r="S29" s="98"/>
      <c r="T29" s="98"/>
      <c r="U29" s="98"/>
      <c r="V29" s="98"/>
      <c r="W29" s="98"/>
      <c r="X29" s="101">
        <f t="shared" si="0"/>
        <v>0.93</v>
      </c>
      <c r="Y29" s="111">
        <v>1712</v>
      </c>
      <c r="Z29" s="106" t="str">
        <f t="shared" si="1"/>
        <v>F</v>
      </c>
      <c r="AA29" s="190" t="s">
        <v>1344</v>
      </c>
      <c r="AB29" s="190">
        <f>AVERAGE($Y$32:$Y$41)</f>
        <v>1471.1</v>
      </c>
      <c r="AC29" s="190">
        <f>MEDIAN($Y$32:$Y$41)</f>
        <v>1533</v>
      </c>
      <c r="AD29" s="190">
        <f>MAX($Y$32:$Y$41)</f>
        <v>1608</v>
      </c>
      <c r="AE29" s="190">
        <f>MIN($Y$32:$Y$41)</f>
        <v>1236</v>
      </c>
      <c r="AF29" s="190">
        <f>STDEV($Y$32:$Y$41)</f>
        <v>143.86525331403379</v>
      </c>
      <c r="AG29" s="190">
        <f>COUNT($Y$32:$Y$41)</f>
        <v>10</v>
      </c>
      <c r="AH29" s="174"/>
      <c r="AI29" s="174"/>
      <c r="AJ29" s="174"/>
      <c r="AK29" s="174"/>
      <c r="AL29" s="174"/>
    </row>
    <row r="30" spans="1:38" s="107" customFormat="1">
      <c r="A30" s="97">
        <v>94</v>
      </c>
      <c r="B30" s="103" t="s">
        <v>45</v>
      </c>
      <c r="C30" s="103">
        <v>1992</v>
      </c>
      <c r="D30" s="103" t="s">
        <v>276</v>
      </c>
      <c r="E30" s="99" t="s">
        <v>290</v>
      </c>
      <c r="F30" s="98">
        <v>1991</v>
      </c>
      <c r="G30" s="98" t="s">
        <v>279</v>
      </c>
      <c r="H30" s="98" t="s">
        <v>211</v>
      </c>
      <c r="I30" s="98"/>
      <c r="J30" s="98" t="s">
        <v>1048</v>
      </c>
      <c r="K30" s="98" t="s">
        <v>1136</v>
      </c>
      <c r="L30" s="98" t="s">
        <v>280</v>
      </c>
      <c r="M30" s="98"/>
      <c r="N30" s="98"/>
      <c r="O30" s="98" t="s">
        <v>297</v>
      </c>
      <c r="P30" s="98"/>
      <c r="Q30" s="98"/>
      <c r="R30" s="98">
        <v>0.93</v>
      </c>
      <c r="S30" s="98"/>
      <c r="T30" s="98"/>
      <c r="U30" s="98"/>
      <c r="V30" s="98"/>
      <c r="W30" s="98"/>
      <c r="X30" s="101">
        <f t="shared" si="0"/>
        <v>0.93</v>
      </c>
      <c r="Y30" s="111">
        <v>1696</v>
      </c>
      <c r="Z30" s="106" t="str">
        <f t="shared" si="1"/>
        <v>F</v>
      </c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</row>
    <row r="31" spans="1:38" s="107" customFormat="1">
      <c r="A31" s="97">
        <v>94</v>
      </c>
      <c r="B31" s="103" t="s">
        <v>45</v>
      </c>
      <c r="C31" s="103">
        <v>1992</v>
      </c>
      <c r="D31" s="103" t="s">
        <v>276</v>
      </c>
      <c r="E31" s="99" t="s">
        <v>290</v>
      </c>
      <c r="F31" s="98">
        <v>1991</v>
      </c>
      <c r="G31" s="98" t="s">
        <v>279</v>
      </c>
      <c r="H31" s="98" t="s">
        <v>211</v>
      </c>
      <c r="I31" s="98"/>
      <c r="J31" s="98" t="s">
        <v>1048</v>
      </c>
      <c r="K31" s="98" t="s">
        <v>1136</v>
      </c>
      <c r="L31" s="98" t="s">
        <v>280</v>
      </c>
      <c r="M31" s="98"/>
      <c r="N31" s="98"/>
      <c r="O31" s="98" t="s">
        <v>296</v>
      </c>
      <c r="P31" s="98"/>
      <c r="Q31" s="98"/>
      <c r="R31" s="98">
        <v>0.91</v>
      </c>
      <c r="S31" s="98"/>
      <c r="T31" s="98"/>
      <c r="U31" s="98"/>
      <c r="V31" s="98"/>
      <c r="W31" s="98"/>
      <c r="X31" s="101">
        <f t="shared" si="0"/>
        <v>0.91</v>
      </c>
      <c r="Y31" s="111">
        <v>1660</v>
      </c>
      <c r="Z31" s="106" t="str">
        <f t="shared" si="1"/>
        <v>F</v>
      </c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</row>
    <row r="32" spans="1:38" s="107" customFormat="1">
      <c r="A32" s="97">
        <v>94</v>
      </c>
      <c r="B32" s="103" t="s">
        <v>45</v>
      </c>
      <c r="C32" s="103">
        <v>1992</v>
      </c>
      <c r="D32" s="103" t="s">
        <v>276</v>
      </c>
      <c r="E32" s="99" t="s">
        <v>172</v>
      </c>
      <c r="F32" s="98">
        <v>1991</v>
      </c>
      <c r="G32" s="98" t="s">
        <v>279</v>
      </c>
      <c r="H32" s="98" t="s">
        <v>211</v>
      </c>
      <c r="I32" s="98"/>
      <c r="J32" s="98" t="s">
        <v>1048</v>
      </c>
      <c r="K32" s="98" t="s">
        <v>1136</v>
      </c>
      <c r="L32" s="98" t="s">
        <v>280</v>
      </c>
      <c r="M32" s="98"/>
      <c r="N32" s="98"/>
      <c r="O32" s="98" t="s">
        <v>294</v>
      </c>
      <c r="P32" s="98"/>
      <c r="Q32" s="98"/>
      <c r="R32" s="98">
        <v>0.88</v>
      </c>
      <c r="S32" s="98"/>
      <c r="T32" s="98"/>
      <c r="U32" s="98"/>
      <c r="V32" s="98"/>
      <c r="W32" s="98"/>
      <c r="X32" s="101">
        <f t="shared" si="0"/>
        <v>0.88</v>
      </c>
      <c r="Y32" s="111">
        <v>1608</v>
      </c>
      <c r="Z32" s="106" t="str">
        <f t="shared" si="1"/>
        <v>S</v>
      </c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</row>
    <row r="33" spans="1:38" s="107" customFormat="1">
      <c r="A33" s="97">
        <v>94</v>
      </c>
      <c r="B33" s="103" t="s">
        <v>45</v>
      </c>
      <c r="C33" s="103">
        <v>1992</v>
      </c>
      <c r="D33" s="103" t="s">
        <v>276</v>
      </c>
      <c r="E33" s="99" t="s">
        <v>49</v>
      </c>
      <c r="F33" s="98">
        <v>1991</v>
      </c>
      <c r="G33" s="98" t="s">
        <v>279</v>
      </c>
      <c r="H33" s="98" t="s">
        <v>211</v>
      </c>
      <c r="I33" s="98"/>
      <c r="J33" s="98" t="s">
        <v>1048</v>
      </c>
      <c r="K33" s="98" t="s">
        <v>1136</v>
      </c>
      <c r="L33" s="98" t="s">
        <v>280</v>
      </c>
      <c r="M33" s="98"/>
      <c r="N33" s="98"/>
      <c r="O33" s="98" t="s">
        <v>282</v>
      </c>
      <c r="P33" s="98"/>
      <c r="Q33" s="98"/>
      <c r="R33" s="98">
        <v>0.87</v>
      </c>
      <c r="S33" s="98"/>
      <c r="T33" s="98"/>
      <c r="U33" s="98"/>
      <c r="V33" s="98"/>
      <c r="W33" s="98"/>
      <c r="X33" s="101">
        <f t="shared" si="0"/>
        <v>0.87</v>
      </c>
      <c r="Y33" s="111">
        <v>1595</v>
      </c>
      <c r="Z33" s="106" t="str">
        <f t="shared" si="1"/>
        <v>S</v>
      </c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</row>
    <row r="34" spans="1:38" s="107" customFormat="1">
      <c r="A34" s="97">
        <v>94</v>
      </c>
      <c r="B34" s="103" t="s">
        <v>45</v>
      </c>
      <c r="C34" s="103">
        <v>1992</v>
      </c>
      <c r="D34" s="103" t="s">
        <v>276</v>
      </c>
      <c r="E34" s="99" t="s">
        <v>290</v>
      </c>
      <c r="F34" s="98">
        <v>1991</v>
      </c>
      <c r="G34" s="98" t="s">
        <v>279</v>
      </c>
      <c r="H34" s="98" t="s">
        <v>211</v>
      </c>
      <c r="I34" s="98"/>
      <c r="J34" s="98" t="s">
        <v>1048</v>
      </c>
      <c r="K34" s="98" t="s">
        <v>1136</v>
      </c>
      <c r="L34" s="98" t="s">
        <v>280</v>
      </c>
      <c r="M34" s="98"/>
      <c r="N34" s="98"/>
      <c r="O34" s="98" t="s">
        <v>291</v>
      </c>
      <c r="P34" s="98"/>
      <c r="Q34" s="98"/>
      <c r="R34" s="98">
        <v>0.85</v>
      </c>
      <c r="S34" s="98"/>
      <c r="T34" s="98"/>
      <c r="U34" s="98"/>
      <c r="V34" s="98"/>
      <c r="W34" s="98"/>
      <c r="X34" s="101">
        <f t="shared" si="0"/>
        <v>0.85</v>
      </c>
      <c r="Y34" s="111">
        <v>1551</v>
      </c>
      <c r="Z34" s="106" t="str">
        <f t="shared" ref="Z34:Z60" si="2">IF(X34&lt;&gt;"",IF(X34&lt;0.9,"S","F"),"")</f>
        <v>S</v>
      </c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</row>
    <row r="35" spans="1:38" s="107" customFormat="1">
      <c r="A35" s="97">
        <v>94</v>
      </c>
      <c r="B35" s="103" t="s">
        <v>45</v>
      </c>
      <c r="C35" s="103">
        <v>1992</v>
      </c>
      <c r="D35" s="103" t="s">
        <v>276</v>
      </c>
      <c r="E35" s="99" t="s">
        <v>290</v>
      </c>
      <c r="F35" s="98">
        <v>1991</v>
      </c>
      <c r="G35" s="98" t="s">
        <v>279</v>
      </c>
      <c r="H35" s="98" t="s">
        <v>211</v>
      </c>
      <c r="I35" s="98"/>
      <c r="J35" s="98" t="s">
        <v>1048</v>
      </c>
      <c r="K35" s="98" t="s">
        <v>1136</v>
      </c>
      <c r="L35" s="98" t="s">
        <v>280</v>
      </c>
      <c r="M35" s="98"/>
      <c r="N35" s="98"/>
      <c r="O35" s="98" t="s">
        <v>293</v>
      </c>
      <c r="P35" s="98"/>
      <c r="Q35" s="98"/>
      <c r="R35" s="98">
        <v>0.85</v>
      </c>
      <c r="S35" s="98"/>
      <c r="T35" s="98"/>
      <c r="U35" s="98"/>
      <c r="V35" s="98"/>
      <c r="W35" s="98"/>
      <c r="X35" s="101">
        <f t="shared" si="0"/>
        <v>0.85</v>
      </c>
      <c r="Y35" s="111">
        <v>1562</v>
      </c>
      <c r="Z35" s="106" t="str">
        <f t="shared" si="2"/>
        <v>S</v>
      </c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</row>
    <row r="36" spans="1:38" s="107" customFormat="1">
      <c r="A36" s="97">
        <v>94</v>
      </c>
      <c r="B36" s="103" t="s">
        <v>45</v>
      </c>
      <c r="C36" s="103">
        <v>1992</v>
      </c>
      <c r="D36" s="103" t="s">
        <v>276</v>
      </c>
      <c r="E36" s="99" t="s">
        <v>49</v>
      </c>
      <c r="F36" s="98">
        <v>1991</v>
      </c>
      <c r="G36" s="98" t="s">
        <v>279</v>
      </c>
      <c r="H36" s="98" t="s">
        <v>211</v>
      </c>
      <c r="I36" s="98"/>
      <c r="J36" s="98" t="s">
        <v>1048</v>
      </c>
      <c r="K36" s="98" t="s">
        <v>1136</v>
      </c>
      <c r="L36" s="98" t="s">
        <v>280</v>
      </c>
      <c r="M36" s="98"/>
      <c r="N36" s="98"/>
      <c r="O36" s="98" t="s">
        <v>288</v>
      </c>
      <c r="P36" s="98"/>
      <c r="Q36" s="98"/>
      <c r="R36" s="98">
        <v>0.84</v>
      </c>
      <c r="S36" s="98"/>
      <c r="T36" s="98"/>
      <c r="U36" s="98"/>
      <c r="V36" s="98"/>
      <c r="W36" s="98"/>
      <c r="X36" s="101">
        <f t="shared" si="0"/>
        <v>0.84</v>
      </c>
      <c r="Y36" s="111">
        <v>1534</v>
      </c>
      <c r="Z36" s="106" t="str">
        <f t="shared" si="2"/>
        <v>S</v>
      </c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</row>
    <row r="37" spans="1:38" s="107" customFormat="1">
      <c r="A37" s="97">
        <v>94</v>
      </c>
      <c r="B37" s="103" t="s">
        <v>45</v>
      </c>
      <c r="C37" s="103">
        <v>1992</v>
      </c>
      <c r="D37" s="103" t="s">
        <v>276</v>
      </c>
      <c r="E37" s="99" t="s">
        <v>290</v>
      </c>
      <c r="F37" s="98">
        <v>1991</v>
      </c>
      <c r="G37" s="98" t="s">
        <v>279</v>
      </c>
      <c r="H37" s="98" t="s">
        <v>211</v>
      </c>
      <c r="I37" s="98"/>
      <c r="J37" s="98" t="s">
        <v>1048</v>
      </c>
      <c r="K37" s="98" t="s">
        <v>1136</v>
      </c>
      <c r="L37" s="98" t="s">
        <v>280</v>
      </c>
      <c r="M37" s="98"/>
      <c r="N37" s="98"/>
      <c r="O37" s="98" t="s">
        <v>292</v>
      </c>
      <c r="P37" s="98"/>
      <c r="Q37" s="98"/>
      <c r="R37" s="98">
        <v>0.84</v>
      </c>
      <c r="S37" s="98"/>
      <c r="T37" s="98"/>
      <c r="U37" s="98"/>
      <c r="V37" s="98"/>
      <c r="W37" s="98"/>
      <c r="X37" s="101">
        <f t="shared" si="0"/>
        <v>0.84</v>
      </c>
      <c r="Y37" s="111">
        <v>1532</v>
      </c>
      <c r="Z37" s="106" t="str">
        <f t="shared" si="2"/>
        <v>S</v>
      </c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</row>
    <row r="38" spans="1:38" s="107" customFormat="1">
      <c r="A38" s="97">
        <v>94</v>
      </c>
      <c r="B38" s="103" t="s">
        <v>45</v>
      </c>
      <c r="C38" s="103">
        <v>1992</v>
      </c>
      <c r="D38" s="103" t="s">
        <v>276</v>
      </c>
      <c r="E38" s="99" t="s">
        <v>49</v>
      </c>
      <c r="F38" s="98">
        <v>1991</v>
      </c>
      <c r="G38" s="98" t="s">
        <v>279</v>
      </c>
      <c r="H38" s="98" t="s">
        <v>211</v>
      </c>
      <c r="I38" s="98"/>
      <c r="J38" s="98" t="s">
        <v>1048</v>
      </c>
      <c r="K38" s="98" t="s">
        <v>1136</v>
      </c>
      <c r="L38" s="98" t="s">
        <v>280</v>
      </c>
      <c r="M38" s="98"/>
      <c r="N38" s="98"/>
      <c r="O38" s="98" t="s">
        <v>285</v>
      </c>
      <c r="P38" s="98"/>
      <c r="Q38" s="98"/>
      <c r="R38" s="98">
        <v>0.83</v>
      </c>
      <c r="S38" s="98"/>
      <c r="T38" s="98"/>
      <c r="U38" s="98"/>
      <c r="V38" s="98"/>
      <c r="W38" s="98"/>
      <c r="X38" s="101">
        <f t="shared" si="0"/>
        <v>0.83</v>
      </c>
      <c r="Y38" s="111">
        <v>1528</v>
      </c>
      <c r="Z38" s="106" t="str">
        <f t="shared" si="2"/>
        <v>S</v>
      </c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</row>
    <row r="39" spans="1:38" s="107" customFormat="1">
      <c r="A39" s="97">
        <v>94</v>
      </c>
      <c r="B39" s="103" t="s">
        <v>45</v>
      </c>
      <c r="C39" s="103">
        <v>1992</v>
      </c>
      <c r="D39" s="103" t="s">
        <v>276</v>
      </c>
      <c r="E39" s="99" t="s">
        <v>49</v>
      </c>
      <c r="F39" s="98">
        <v>1991</v>
      </c>
      <c r="G39" s="98" t="s">
        <v>279</v>
      </c>
      <c r="H39" s="98" t="s">
        <v>211</v>
      </c>
      <c r="I39" s="98"/>
      <c r="J39" s="98" t="s">
        <v>1048</v>
      </c>
      <c r="K39" s="98" t="s">
        <v>1136</v>
      </c>
      <c r="L39" s="98" t="s">
        <v>280</v>
      </c>
      <c r="M39" s="98"/>
      <c r="N39" s="98"/>
      <c r="O39" s="98" t="s">
        <v>286</v>
      </c>
      <c r="P39" s="98"/>
      <c r="Q39" s="98"/>
      <c r="R39" s="98">
        <v>0.7</v>
      </c>
      <c r="S39" s="98"/>
      <c r="T39" s="98"/>
      <c r="U39" s="98"/>
      <c r="V39" s="98"/>
      <c r="W39" s="98"/>
      <c r="X39" s="101">
        <f t="shared" si="0"/>
        <v>0.7</v>
      </c>
      <c r="Y39" s="111">
        <v>1293</v>
      </c>
      <c r="Z39" s="106" t="str">
        <f t="shared" si="2"/>
        <v>S</v>
      </c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1:38" s="107" customFormat="1">
      <c r="A40" s="97">
        <v>94</v>
      </c>
      <c r="B40" s="103" t="s">
        <v>45</v>
      </c>
      <c r="C40" s="103">
        <v>1992</v>
      </c>
      <c r="D40" s="103" t="s">
        <v>276</v>
      </c>
      <c r="E40" s="99" t="s">
        <v>49</v>
      </c>
      <c r="F40" s="98">
        <v>1991</v>
      </c>
      <c r="G40" s="98" t="s">
        <v>279</v>
      </c>
      <c r="H40" s="98" t="s">
        <v>211</v>
      </c>
      <c r="I40" s="98"/>
      <c r="J40" s="98" t="s">
        <v>1048</v>
      </c>
      <c r="K40" s="98" t="s">
        <v>1136</v>
      </c>
      <c r="L40" s="98" t="s">
        <v>280</v>
      </c>
      <c r="M40" s="98"/>
      <c r="N40" s="98"/>
      <c r="O40" s="98" t="s">
        <v>289</v>
      </c>
      <c r="P40" s="98"/>
      <c r="Q40" s="98"/>
      <c r="R40" s="98">
        <v>0.69</v>
      </c>
      <c r="S40" s="98"/>
      <c r="T40" s="98"/>
      <c r="U40" s="98"/>
      <c r="V40" s="98"/>
      <c r="W40" s="98"/>
      <c r="X40" s="101">
        <f t="shared" si="0"/>
        <v>0.69</v>
      </c>
      <c r="Y40" s="111">
        <v>1272</v>
      </c>
      <c r="Z40" s="106" t="str">
        <f t="shared" si="2"/>
        <v>S</v>
      </c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1:38" s="107" customFormat="1">
      <c r="A41" s="97">
        <v>94</v>
      </c>
      <c r="B41" s="103" t="s">
        <v>45</v>
      </c>
      <c r="C41" s="103">
        <v>1992</v>
      </c>
      <c r="D41" s="103" t="s">
        <v>276</v>
      </c>
      <c r="E41" s="99" t="s">
        <v>49</v>
      </c>
      <c r="F41" s="98">
        <v>1991</v>
      </c>
      <c r="G41" s="98" t="s">
        <v>279</v>
      </c>
      <c r="H41" s="98" t="s">
        <v>211</v>
      </c>
      <c r="I41" s="98"/>
      <c r="J41" s="98" t="s">
        <v>1048</v>
      </c>
      <c r="K41" s="98" t="s">
        <v>1136</v>
      </c>
      <c r="L41" s="98" t="s">
        <v>280</v>
      </c>
      <c r="M41" s="98"/>
      <c r="N41" s="98"/>
      <c r="O41" s="98" t="s">
        <v>283</v>
      </c>
      <c r="P41" s="98"/>
      <c r="Q41" s="98"/>
      <c r="R41" s="98">
        <v>0.67</v>
      </c>
      <c r="S41" s="98"/>
      <c r="T41" s="98"/>
      <c r="U41" s="98"/>
      <c r="V41" s="98"/>
      <c r="W41" s="98"/>
      <c r="X41" s="101">
        <f t="shared" si="0"/>
        <v>0.67</v>
      </c>
      <c r="Y41" s="111">
        <v>1236</v>
      </c>
      <c r="Z41" s="106" t="str">
        <f t="shared" si="2"/>
        <v>S</v>
      </c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1:38">
      <c r="A42" s="53">
        <v>174</v>
      </c>
      <c r="B42" s="54" t="s">
        <v>697</v>
      </c>
      <c r="C42" s="54">
        <v>2009</v>
      </c>
      <c r="D42" s="55" t="s">
        <v>698</v>
      </c>
      <c r="E42" s="56" t="s">
        <v>20</v>
      </c>
      <c r="F42" s="57" t="s">
        <v>701</v>
      </c>
      <c r="G42" s="54"/>
      <c r="H42" s="54"/>
      <c r="I42" s="54"/>
      <c r="J42" s="160" t="s">
        <v>1148</v>
      </c>
      <c r="K42" s="54" t="s">
        <v>1099</v>
      </c>
      <c r="L42" s="54" t="s">
        <v>752</v>
      </c>
      <c r="M42" s="59"/>
      <c r="N42" s="59"/>
      <c r="O42" s="54" t="s">
        <v>752</v>
      </c>
      <c r="P42" s="60"/>
      <c r="Q42" s="60"/>
      <c r="R42" s="54"/>
      <c r="S42" s="54"/>
      <c r="T42" s="54"/>
      <c r="U42" s="61">
        <v>0.96099999999999997</v>
      </c>
      <c r="V42" s="167"/>
      <c r="W42" s="167"/>
      <c r="X42" s="58">
        <f t="shared" si="0"/>
        <v>0.96099999999999997</v>
      </c>
      <c r="Y42" s="219">
        <v>1783</v>
      </c>
      <c r="Z42" s="63" t="str">
        <f t="shared" si="2"/>
        <v>F</v>
      </c>
    </row>
    <row r="43" spans="1:38" s="107" customFormat="1">
      <c r="A43" s="97">
        <v>181</v>
      </c>
      <c r="B43" s="98" t="s">
        <v>766</v>
      </c>
      <c r="C43" s="98">
        <v>2009</v>
      </c>
      <c r="D43" s="112" t="s">
        <v>767</v>
      </c>
      <c r="E43" s="113" t="s">
        <v>49</v>
      </c>
      <c r="F43" s="114" t="s">
        <v>808</v>
      </c>
      <c r="G43" s="98" t="s">
        <v>858</v>
      </c>
      <c r="H43" s="115" t="s">
        <v>43</v>
      </c>
      <c r="I43" s="115"/>
      <c r="J43" s="115" t="s">
        <v>1018</v>
      </c>
      <c r="K43" s="115" t="s">
        <v>1018</v>
      </c>
      <c r="L43" s="114" t="s">
        <v>791</v>
      </c>
      <c r="M43" s="114" t="s">
        <v>414</v>
      </c>
      <c r="N43" s="114"/>
      <c r="O43" s="114" t="s">
        <v>859</v>
      </c>
      <c r="P43" s="114"/>
      <c r="Q43" s="114"/>
      <c r="R43" s="98"/>
      <c r="S43" s="98"/>
      <c r="T43" s="98"/>
      <c r="U43" s="114">
        <v>0.97</v>
      </c>
      <c r="V43" s="114"/>
      <c r="W43" s="114"/>
      <c r="X43" s="101">
        <f t="shared" si="0"/>
        <v>0.97</v>
      </c>
      <c r="Y43" s="222">
        <v>1751.5023249999999</v>
      </c>
      <c r="Z43" s="106" t="str">
        <f t="shared" si="2"/>
        <v>F</v>
      </c>
      <c r="AA43" s="187"/>
      <c r="AB43" s="188" t="s">
        <v>1206</v>
      </c>
      <c r="AC43" s="188" t="s">
        <v>1207</v>
      </c>
      <c r="AD43" s="188" t="s">
        <v>1208</v>
      </c>
      <c r="AE43" s="188" t="s">
        <v>1209</v>
      </c>
      <c r="AF43" s="188" t="s">
        <v>1210</v>
      </c>
      <c r="AG43" s="188" t="s">
        <v>1211</v>
      </c>
      <c r="AH43" s="174"/>
      <c r="AI43" s="174"/>
      <c r="AJ43" s="174"/>
      <c r="AK43" s="174"/>
      <c r="AL43" s="174"/>
    </row>
    <row r="44" spans="1:38" s="107" customFormat="1">
      <c r="A44" s="97">
        <v>203</v>
      </c>
      <c r="B44" s="123" t="s">
        <v>940</v>
      </c>
      <c r="C44" s="98">
        <v>2011</v>
      </c>
      <c r="D44" s="123" t="s">
        <v>941</v>
      </c>
      <c r="E44" s="99" t="s">
        <v>20</v>
      </c>
      <c r="F44" s="98">
        <v>2009</v>
      </c>
      <c r="G44" s="98" t="s">
        <v>326</v>
      </c>
      <c r="H44" s="98"/>
      <c r="I44" s="98"/>
      <c r="J44" s="174" t="s">
        <v>1018</v>
      </c>
      <c r="K44" s="98" t="s">
        <v>1018</v>
      </c>
      <c r="L44" s="98" t="s">
        <v>743</v>
      </c>
      <c r="M44" s="98"/>
      <c r="N44" s="98"/>
      <c r="O44" s="98">
        <v>42</v>
      </c>
      <c r="P44" s="98"/>
      <c r="Q44" s="98"/>
      <c r="R44" s="98"/>
      <c r="S44" s="98"/>
      <c r="T44" s="98"/>
      <c r="U44" s="98">
        <v>0.97</v>
      </c>
      <c r="V44" s="98"/>
      <c r="W44" s="98"/>
      <c r="X44" s="101">
        <f t="shared" si="0"/>
        <v>0.97</v>
      </c>
      <c r="Y44" s="111">
        <v>1784</v>
      </c>
      <c r="Z44" s="106" t="str">
        <f t="shared" si="2"/>
        <v>F</v>
      </c>
      <c r="AA44" s="307" t="s">
        <v>1349</v>
      </c>
      <c r="AB44" s="307">
        <f>AVERAGE($Y$43:$Y$60)</f>
        <v>1700.0173499444445</v>
      </c>
      <c r="AC44" s="307">
        <f>MEDIAN($Y$43:$Y$60)</f>
        <v>1700</v>
      </c>
      <c r="AD44" s="307">
        <f>MAX($Y$43:$Y$60)</f>
        <v>1859</v>
      </c>
      <c r="AE44" s="307">
        <f>MIN($Y$43:$Y$60)</f>
        <v>1522</v>
      </c>
      <c r="AF44" s="307">
        <f>STDEV($Y$43:$Y$60)</f>
        <v>86.654512363739684</v>
      </c>
      <c r="AG44" s="307">
        <f>COUNT($Y$43:$Y$60)</f>
        <v>18</v>
      </c>
      <c r="AH44" s="174"/>
      <c r="AI44" s="174"/>
      <c r="AJ44" s="174"/>
      <c r="AK44" s="174"/>
      <c r="AL44" s="174"/>
    </row>
    <row r="45" spans="1:38" s="107" customFormat="1">
      <c r="A45" s="97">
        <v>203</v>
      </c>
      <c r="B45" s="123" t="s">
        <v>940</v>
      </c>
      <c r="C45" s="98">
        <v>2011</v>
      </c>
      <c r="D45" s="123" t="s">
        <v>941</v>
      </c>
      <c r="E45" s="99" t="s">
        <v>20</v>
      </c>
      <c r="F45" s="98">
        <v>2009</v>
      </c>
      <c r="G45" s="98" t="s">
        <v>326</v>
      </c>
      <c r="H45" s="98"/>
      <c r="I45" s="98"/>
      <c r="J45" s="174" t="s">
        <v>1018</v>
      </c>
      <c r="K45" s="98" t="s">
        <v>1018</v>
      </c>
      <c r="L45" s="98" t="s">
        <v>743</v>
      </c>
      <c r="M45" s="98"/>
      <c r="N45" s="98"/>
      <c r="O45" s="98">
        <v>67</v>
      </c>
      <c r="P45" s="98"/>
      <c r="Q45" s="98"/>
      <c r="R45" s="98"/>
      <c r="S45" s="98"/>
      <c r="T45" s="98"/>
      <c r="U45" s="98">
        <v>0.97</v>
      </c>
      <c r="V45" s="98"/>
      <c r="W45" s="98"/>
      <c r="X45" s="101">
        <f t="shared" si="0"/>
        <v>0.97</v>
      </c>
      <c r="Y45" s="111">
        <v>1794</v>
      </c>
      <c r="Z45" s="106" t="str">
        <f t="shared" si="2"/>
        <v>F</v>
      </c>
      <c r="AA45" s="190" t="s">
        <v>1350</v>
      </c>
      <c r="AB45" s="190">
        <f>AVERAGE($Y$43:$Y$59)</f>
        <v>1709.5477822941177</v>
      </c>
      <c r="AC45" s="190">
        <f>MEDIAN($Y$43:$Y$59)</f>
        <v>1711</v>
      </c>
      <c r="AD45" s="190">
        <f>MAX($Y$43:$Y$59)</f>
        <v>1859</v>
      </c>
      <c r="AE45" s="190">
        <f>MIN($Y$43:$Y$59)</f>
        <v>1522</v>
      </c>
      <c r="AF45" s="190">
        <f>STDEV($Y$43:$Y$59)</f>
        <v>79.001328962246859</v>
      </c>
      <c r="AG45" s="190">
        <f>COUNT($Y$43:$Y$59)</f>
        <v>17</v>
      </c>
      <c r="AH45" s="174"/>
      <c r="AI45" s="174"/>
      <c r="AJ45" s="174"/>
      <c r="AK45" s="174"/>
      <c r="AL45" s="174"/>
    </row>
    <row r="46" spans="1:38" s="107" customFormat="1">
      <c r="A46" s="97">
        <v>174</v>
      </c>
      <c r="B46" s="98" t="s">
        <v>697</v>
      </c>
      <c r="C46" s="98">
        <v>2009</v>
      </c>
      <c r="D46" s="108" t="s">
        <v>698</v>
      </c>
      <c r="E46" s="99" t="s">
        <v>20</v>
      </c>
      <c r="F46" s="100" t="s">
        <v>701</v>
      </c>
      <c r="G46" s="98" t="s">
        <v>741</v>
      </c>
      <c r="H46" s="98" t="s">
        <v>741</v>
      </c>
      <c r="I46" s="98"/>
      <c r="J46" s="174" t="s">
        <v>1018</v>
      </c>
      <c r="K46" s="98" t="s">
        <v>1018</v>
      </c>
      <c r="L46" s="98" t="s">
        <v>742</v>
      </c>
      <c r="M46" s="109"/>
      <c r="N46" s="109"/>
      <c r="O46" s="98" t="s">
        <v>743</v>
      </c>
      <c r="P46" s="103"/>
      <c r="Q46" s="103"/>
      <c r="R46" s="98"/>
      <c r="S46" s="98"/>
      <c r="T46" s="98"/>
      <c r="U46" s="104">
        <v>0.96499999999999997</v>
      </c>
      <c r="V46" s="175"/>
      <c r="W46" s="175"/>
      <c r="X46" s="101">
        <f t="shared" si="0"/>
        <v>0.96499999999999997</v>
      </c>
      <c r="Y46" s="221">
        <v>1680</v>
      </c>
      <c r="Z46" s="106" t="str">
        <f t="shared" si="2"/>
        <v>F</v>
      </c>
      <c r="AA46" s="190" t="s">
        <v>1351</v>
      </c>
      <c r="AB46" s="190">
        <f>+Y60</f>
        <v>1538</v>
      </c>
      <c r="AC46" s="190"/>
      <c r="AD46" s="190"/>
      <c r="AE46" s="190"/>
      <c r="AF46" s="190"/>
      <c r="AG46" s="190">
        <f>COUNT(Y60)</f>
        <v>1</v>
      </c>
      <c r="AH46" s="174"/>
      <c r="AI46" s="174"/>
      <c r="AJ46" s="174"/>
      <c r="AK46" s="174"/>
      <c r="AL46" s="174"/>
    </row>
    <row r="47" spans="1:38" s="107" customFormat="1">
      <c r="A47" s="97">
        <v>181</v>
      </c>
      <c r="B47" s="98" t="s">
        <v>766</v>
      </c>
      <c r="C47" s="98">
        <v>2009</v>
      </c>
      <c r="D47" s="112" t="s">
        <v>767</v>
      </c>
      <c r="E47" s="113" t="s">
        <v>49</v>
      </c>
      <c r="F47" s="114" t="s">
        <v>808</v>
      </c>
      <c r="G47" s="98" t="s">
        <v>869</v>
      </c>
      <c r="H47" s="115" t="s">
        <v>43</v>
      </c>
      <c r="I47" s="115"/>
      <c r="J47" s="115" t="s">
        <v>1018</v>
      </c>
      <c r="K47" s="115" t="s">
        <v>1149</v>
      </c>
      <c r="L47" s="114" t="s">
        <v>791</v>
      </c>
      <c r="M47" s="114" t="s">
        <v>872</v>
      </c>
      <c r="N47" s="114"/>
      <c r="O47" s="114" t="s">
        <v>873</v>
      </c>
      <c r="P47" s="114"/>
      <c r="Q47" s="114"/>
      <c r="R47" s="98"/>
      <c r="S47" s="98"/>
      <c r="T47" s="98"/>
      <c r="U47" s="114">
        <v>0.96099999999999997</v>
      </c>
      <c r="V47" s="114"/>
      <c r="W47" s="114"/>
      <c r="X47" s="101">
        <f t="shared" si="0"/>
        <v>0.96099999999999997</v>
      </c>
      <c r="Y47" s="222">
        <v>1743.2</v>
      </c>
      <c r="Z47" s="106" t="str">
        <f t="shared" si="2"/>
        <v>F</v>
      </c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1:38" s="107" customFormat="1">
      <c r="A48" s="97">
        <v>203</v>
      </c>
      <c r="B48" s="123" t="s">
        <v>940</v>
      </c>
      <c r="C48" s="98">
        <v>2011</v>
      </c>
      <c r="D48" s="123" t="s">
        <v>941</v>
      </c>
      <c r="E48" s="99" t="s">
        <v>20</v>
      </c>
      <c r="F48" s="98">
        <v>2009</v>
      </c>
      <c r="G48" s="98" t="s">
        <v>326</v>
      </c>
      <c r="H48" s="98"/>
      <c r="I48" s="98"/>
      <c r="J48" s="174" t="s">
        <v>1018</v>
      </c>
      <c r="K48" s="98" t="s">
        <v>1102</v>
      </c>
      <c r="L48" s="98" t="s">
        <v>944</v>
      </c>
      <c r="M48" s="98"/>
      <c r="N48" s="98"/>
      <c r="O48" s="98">
        <v>43</v>
      </c>
      <c r="P48" s="98"/>
      <c r="Q48" s="98"/>
      <c r="R48" s="98"/>
      <c r="S48" s="98"/>
      <c r="T48" s="98"/>
      <c r="U48" s="98">
        <v>0.96</v>
      </c>
      <c r="V48" s="98"/>
      <c r="W48" s="98"/>
      <c r="X48" s="101">
        <f t="shared" si="0"/>
        <v>0.96</v>
      </c>
      <c r="Y48" s="111">
        <v>1765</v>
      </c>
      <c r="Z48" s="106" t="str">
        <f t="shared" si="2"/>
        <v>F</v>
      </c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1:38" s="107" customFormat="1">
      <c r="A49" s="97">
        <v>174</v>
      </c>
      <c r="B49" s="98" t="s">
        <v>697</v>
      </c>
      <c r="C49" s="98">
        <v>2009</v>
      </c>
      <c r="D49" s="108" t="s">
        <v>698</v>
      </c>
      <c r="E49" s="99" t="s">
        <v>20</v>
      </c>
      <c r="F49" s="100" t="s">
        <v>701</v>
      </c>
      <c r="G49" s="98" t="s">
        <v>710</v>
      </c>
      <c r="H49" s="98" t="s">
        <v>42</v>
      </c>
      <c r="I49" s="98"/>
      <c r="J49" s="174" t="s">
        <v>1018</v>
      </c>
      <c r="K49" s="98" t="s">
        <v>1086</v>
      </c>
      <c r="L49" s="98" t="s">
        <v>711</v>
      </c>
      <c r="M49" s="109"/>
      <c r="N49" s="109"/>
      <c r="O49" s="98" t="s">
        <v>711</v>
      </c>
      <c r="P49" s="103"/>
      <c r="Q49" s="103"/>
      <c r="R49" s="98"/>
      <c r="S49" s="98"/>
      <c r="T49" s="98"/>
      <c r="U49" s="104">
        <v>0.95699999999999996</v>
      </c>
      <c r="V49" s="175"/>
      <c r="W49" s="175"/>
      <c r="X49" s="101">
        <f t="shared" si="0"/>
        <v>0.95699999999999996</v>
      </c>
      <c r="Y49" s="111">
        <v>1656</v>
      </c>
      <c r="Z49" s="106" t="str">
        <f t="shared" si="2"/>
        <v>F</v>
      </c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1:38" s="107" customFormat="1">
      <c r="A50" s="97">
        <v>181</v>
      </c>
      <c r="B50" s="98" t="s">
        <v>766</v>
      </c>
      <c r="C50" s="98">
        <v>2009</v>
      </c>
      <c r="D50" s="112" t="s">
        <v>767</v>
      </c>
      <c r="E50" s="112" t="s">
        <v>49</v>
      </c>
      <c r="F50" s="119" t="s">
        <v>793</v>
      </c>
      <c r="G50" s="98" t="s">
        <v>860</v>
      </c>
      <c r="H50" s="108" t="s">
        <v>38</v>
      </c>
      <c r="I50" s="108"/>
      <c r="J50" s="108" t="s">
        <v>1018</v>
      </c>
      <c r="K50" s="108" t="s">
        <v>1150</v>
      </c>
      <c r="L50" s="119" t="s">
        <v>496</v>
      </c>
      <c r="M50" s="119" t="s">
        <v>811</v>
      </c>
      <c r="N50" s="119"/>
      <c r="O50" s="119" t="s">
        <v>861</v>
      </c>
      <c r="P50" s="119"/>
      <c r="Q50" s="119"/>
      <c r="R50" s="98"/>
      <c r="S50" s="98"/>
      <c r="T50" s="98"/>
      <c r="U50" s="119">
        <v>0.93600000000000005</v>
      </c>
      <c r="V50" s="119"/>
      <c r="W50" s="119"/>
      <c r="X50" s="101">
        <f t="shared" si="0"/>
        <v>0.93600000000000005</v>
      </c>
      <c r="Y50" s="223">
        <v>1681.447899</v>
      </c>
      <c r="Z50" s="106" t="str">
        <f t="shared" si="2"/>
        <v>F</v>
      </c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1:38" s="107" customFormat="1">
      <c r="A51" s="97">
        <v>181</v>
      </c>
      <c r="B51" s="98" t="s">
        <v>766</v>
      </c>
      <c r="C51" s="98">
        <v>2009</v>
      </c>
      <c r="D51" s="112" t="s">
        <v>767</v>
      </c>
      <c r="E51" s="113" t="s">
        <v>49</v>
      </c>
      <c r="F51" s="114" t="s">
        <v>808</v>
      </c>
      <c r="G51" s="98" t="s">
        <v>869</v>
      </c>
      <c r="H51" s="115" t="s">
        <v>43</v>
      </c>
      <c r="I51" s="115"/>
      <c r="J51" s="115" t="s">
        <v>1018</v>
      </c>
      <c r="K51" s="115" t="s">
        <v>1102</v>
      </c>
      <c r="L51" s="114" t="s">
        <v>791</v>
      </c>
      <c r="M51" s="114" t="s">
        <v>863</v>
      </c>
      <c r="N51" s="114"/>
      <c r="O51" s="114" t="s">
        <v>870</v>
      </c>
      <c r="P51" s="114"/>
      <c r="Q51" s="114"/>
      <c r="R51" s="98"/>
      <c r="S51" s="98"/>
      <c r="T51" s="98"/>
      <c r="U51" s="114">
        <v>0.93600000000000005</v>
      </c>
      <c r="V51" s="114"/>
      <c r="W51" s="114"/>
      <c r="X51" s="101">
        <f t="shared" si="0"/>
        <v>0.93600000000000005</v>
      </c>
      <c r="Y51" s="222">
        <v>1689</v>
      </c>
      <c r="Z51" s="106" t="str">
        <f t="shared" si="2"/>
        <v>F</v>
      </c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1:38" s="107" customFormat="1">
      <c r="A52" s="97">
        <v>172</v>
      </c>
      <c r="B52" s="98" t="s">
        <v>585</v>
      </c>
      <c r="C52" s="98">
        <v>2010</v>
      </c>
      <c r="D52" s="98" t="s">
        <v>586</v>
      </c>
      <c r="E52" s="99" t="s">
        <v>589</v>
      </c>
      <c r="F52" s="100">
        <v>40228</v>
      </c>
      <c r="G52" s="98" t="s">
        <v>495</v>
      </c>
      <c r="H52" s="98" t="s">
        <v>41</v>
      </c>
      <c r="I52" s="98"/>
      <c r="J52" s="101" t="s">
        <v>1018</v>
      </c>
      <c r="K52" s="98" t="s">
        <v>1070</v>
      </c>
      <c r="L52" s="98" t="s">
        <v>618</v>
      </c>
      <c r="M52" s="102"/>
      <c r="N52" s="102"/>
      <c r="O52" s="98"/>
      <c r="P52" s="103"/>
      <c r="Q52" s="103"/>
      <c r="R52" s="98"/>
      <c r="S52" s="98"/>
      <c r="T52" s="98"/>
      <c r="U52" s="103">
        <v>0.93400000000000005</v>
      </c>
      <c r="V52" s="103"/>
      <c r="W52" s="103"/>
      <c r="X52" s="101">
        <f t="shared" si="0"/>
        <v>0.93400000000000005</v>
      </c>
      <c r="Y52" s="125">
        <v>1859</v>
      </c>
      <c r="Z52" s="106" t="str">
        <f t="shared" si="2"/>
        <v>F</v>
      </c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</row>
    <row r="53" spans="1:38" s="107" customFormat="1">
      <c r="A53" s="174"/>
      <c r="B53" s="123" t="s">
        <v>979</v>
      </c>
      <c r="C53" s="98">
        <v>2015</v>
      </c>
      <c r="D53" s="174"/>
      <c r="E53" s="99" t="s">
        <v>49</v>
      </c>
      <c r="F53" s="174"/>
      <c r="G53" s="98" t="s">
        <v>835</v>
      </c>
      <c r="H53" s="101" t="s">
        <v>43</v>
      </c>
      <c r="I53" s="101"/>
      <c r="J53" s="124" t="s">
        <v>1018</v>
      </c>
      <c r="K53" s="101" t="s">
        <v>1018</v>
      </c>
      <c r="L53" s="98" t="s">
        <v>982</v>
      </c>
      <c r="M53" s="174"/>
      <c r="N53" s="174"/>
      <c r="O53" s="174"/>
      <c r="P53" s="174"/>
      <c r="Q53" s="174"/>
      <c r="R53" s="174"/>
      <c r="S53" s="174"/>
      <c r="T53" s="174"/>
      <c r="U53" s="98">
        <v>0.93300000000000005</v>
      </c>
      <c r="V53" s="174"/>
      <c r="W53" s="174"/>
      <c r="X53" s="101">
        <f t="shared" si="0"/>
        <v>0.93300000000000005</v>
      </c>
      <c r="Y53" s="111">
        <v>1711</v>
      </c>
      <c r="Z53" s="106" t="str">
        <f t="shared" si="2"/>
        <v>F</v>
      </c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1:38" s="107" customFormat="1">
      <c r="A54" s="174"/>
      <c r="B54" s="123" t="s">
        <v>979</v>
      </c>
      <c r="C54" s="98">
        <v>2015</v>
      </c>
      <c r="D54" s="174"/>
      <c r="E54" s="99" t="s">
        <v>980</v>
      </c>
      <c r="F54" s="174"/>
      <c r="G54" s="98" t="s">
        <v>835</v>
      </c>
      <c r="H54" s="101" t="s">
        <v>43</v>
      </c>
      <c r="I54" s="101"/>
      <c r="J54" s="124" t="s">
        <v>1018</v>
      </c>
      <c r="K54" s="101" t="s">
        <v>1018</v>
      </c>
      <c r="L54" s="98" t="s">
        <v>982</v>
      </c>
      <c r="M54" s="174"/>
      <c r="N54" s="174"/>
      <c r="O54" s="174"/>
      <c r="P54" s="174"/>
      <c r="Q54" s="174"/>
      <c r="R54" s="174"/>
      <c r="S54" s="174"/>
      <c r="T54" s="174"/>
      <c r="U54" s="98">
        <v>0.93300000000000005</v>
      </c>
      <c r="V54" s="174"/>
      <c r="W54" s="174"/>
      <c r="X54" s="101">
        <f t="shared" si="0"/>
        <v>0.93300000000000005</v>
      </c>
      <c r="Y54" s="111">
        <v>1711</v>
      </c>
      <c r="Z54" s="106" t="str">
        <f t="shared" si="2"/>
        <v>F</v>
      </c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</row>
    <row r="55" spans="1:38" s="107" customFormat="1">
      <c r="A55" s="174"/>
      <c r="B55" s="180" t="s">
        <v>992</v>
      </c>
      <c r="C55" s="181">
        <v>2013</v>
      </c>
      <c r="D55" s="174"/>
      <c r="E55" s="180" t="s">
        <v>172</v>
      </c>
      <c r="F55" s="174"/>
      <c r="G55" s="174"/>
      <c r="H55" s="101" t="s">
        <v>771</v>
      </c>
      <c r="I55" s="101"/>
      <c r="J55" s="101" t="s">
        <v>1018</v>
      </c>
      <c r="K55" s="101" t="s">
        <v>1018</v>
      </c>
      <c r="L55" s="182" t="s">
        <v>997</v>
      </c>
      <c r="M55" s="174"/>
      <c r="N55" s="174"/>
      <c r="O55" s="174"/>
      <c r="P55" s="174"/>
      <c r="Q55" s="174"/>
      <c r="R55" s="174"/>
      <c r="S55" s="174"/>
      <c r="T55" s="174"/>
      <c r="U55" s="174">
        <v>0.93200000000000005</v>
      </c>
      <c r="V55" s="174"/>
      <c r="W55" s="174"/>
      <c r="X55" s="101">
        <f t="shared" si="0"/>
        <v>0.93200000000000005</v>
      </c>
      <c r="Y55" s="224">
        <v>1674</v>
      </c>
      <c r="Z55" s="106" t="str">
        <f t="shared" si="2"/>
        <v>F</v>
      </c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</row>
    <row r="56" spans="1:38" s="107" customFormat="1">
      <c r="A56" s="97">
        <v>172</v>
      </c>
      <c r="B56" s="98" t="s">
        <v>585</v>
      </c>
      <c r="C56" s="98">
        <v>2010</v>
      </c>
      <c r="D56" s="98" t="s">
        <v>586</v>
      </c>
      <c r="E56" s="99" t="s">
        <v>589</v>
      </c>
      <c r="F56" s="100">
        <v>40229</v>
      </c>
      <c r="G56" s="98" t="s">
        <v>495</v>
      </c>
      <c r="H56" s="98" t="s">
        <v>41</v>
      </c>
      <c r="I56" s="98"/>
      <c r="J56" s="101" t="s">
        <v>1018</v>
      </c>
      <c r="K56" s="98" t="s">
        <v>1070</v>
      </c>
      <c r="L56" s="98" t="s">
        <v>619</v>
      </c>
      <c r="M56" s="102"/>
      <c r="N56" s="102"/>
      <c r="O56" s="98"/>
      <c r="P56" s="103"/>
      <c r="Q56" s="103"/>
      <c r="R56" s="98"/>
      <c r="S56" s="98"/>
      <c r="T56" s="98"/>
      <c r="U56" s="103">
        <v>0.92700000000000005</v>
      </c>
      <c r="V56" s="103"/>
      <c r="W56" s="103"/>
      <c r="X56" s="101">
        <f t="shared" si="0"/>
        <v>0.92700000000000005</v>
      </c>
      <c r="Y56" s="125">
        <v>1780</v>
      </c>
      <c r="Z56" s="106" t="str">
        <f t="shared" si="2"/>
        <v>F</v>
      </c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</row>
    <row r="57" spans="1:38" s="107" customFormat="1">
      <c r="A57" s="97">
        <v>181</v>
      </c>
      <c r="B57" s="98" t="s">
        <v>766</v>
      </c>
      <c r="C57" s="98">
        <v>2009</v>
      </c>
      <c r="D57" s="112" t="s">
        <v>767</v>
      </c>
      <c r="E57" s="112" t="s">
        <v>49</v>
      </c>
      <c r="F57" s="119" t="s">
        <v>808</v>
      </c>
      <c r="G57" s="98" t="s">
        <v>862</v>
      </c>
      <c r="H57" s="108" t="s">
        <v>43</v>
      </c>
      <c r="I57" s="108"/>
      <c r="J57" s="108" t="s">
        <v>1018</v>
      </c>
      <c r="K57" s="108" t="s">
        <v>1102</v>
      </c>
      <c r="L57" s="119" t="s">
        <v>791</v>
      </c>
      <c r="M57" s="119" t="s">
        <v>863</v>
      </c>
      <c r="N57" s="119"/>
      <c r="O57" s="119" t="s">
        <v>864</v>
      </c>
      <c r="P57" s="119"/>
      <c r="Q57" s="119"/>
      <c r="R57" s="98"/>
      <c r="S57" s="98"/>
      <c r="T57" s="98"/>
      <c r="U57" s="119">
        <v>0.91400000000000003</v>
      </c>
      <c r="V57" s="119"/>
      <c r="W57" s="119"/>
      <c r="X57" s="101">
        <f t="shared" si="0"/>
        <v>0.91400000000000003</v>
      </c>
      <c r="Y57" s="223">
        <v>1635.6400639999999</v>
      </c>
      <c r="Z57" s="106" t="str">
        <f t="shared" si="2"/>
        <v>F</v>
      </c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</row>
    <row r="58" spans="1:38" s="107" customFormat="1">
      <c r="A58" s="97">
        <v>181</v>
      </c>
      <c r="B58" s="98" t="s">
        <v>766</v>
      </c>
      <c r="C58" s="98">
        <v>2009</v>
      </c>
      <c r="D58" s="112" t="s">
        <v>767</v>
      </c>
      <c r="E58" s="112" t="s">
        <v>49</v>
      </c>
      <c r="F58" s="119" t="s">
        <v>793</v>
      </c>
      <c r="G58" s="98" t="s">
        <v>804</v>
      </c>
      <c r="H58" s="108" t="s">
        <v>38</v>
      </c>
      <c r="I58" s="108"/>
      <c r="J58" s="108" t="s">
        <v>1018</v>
      </c>
      <c r="K58" s="108" t="s">
        <v>1150</v>
      </c>
      <c r="L58" s="119" t="s">
        <v>496</v>
      </c>
      <c r="M58" s="119" t="s">
        <v>811</v>
      </c>
      <c r="N58" s="119"/>
      <c r="O58" s="119" t="s">
        <v>812</v>
      </c>
      <c r="P58" s="119"/>
      <c r="Q58" s="119"/>
      <c r="R58" s="98"/>
      <c r="S58" s="98"/>
      <c r="T58" s="98"/>
      <c r="U58" s="119">
        <v>0.91200000000000003</v>
      </c>
      <c r="V58" s="119"/>
      <c r="W58" s="119"/>
      <c r="X58" s="101">
        <f t="shared" si="0"/>
        <v>0.91200000000000003</v>
      </c>
      <c r="Y58" s="223">
        <v>1625.522011</v>
      </c>
      <c r="Z58" s="106" t="str">
        <f t="shared" si="2"/>
        <v>F</v>
      </c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</row>
    <row r="59" spans="1:38" s="107" customFormat="1">
      <c r="A59" s="97">
        <v>174</v>
      </c>
      <c r="B59" s="98" t="s">
        <v>697</v>
      </c>
      <c r="C59" s="98">
        <v>2009</v>
      </c>
      <c r="D59" s="108" t="s">
        <v>698</v>
      </c>
      <c r="E59" s="99" t="s">
        <v>20</v>
      </c>
      <c r="F59" s="100" t="s">
        <v>701</v>
      </c>
      <c r="G59" s="98" t="s">
        <v>716</v>
      </c>
      <c r="H59" s="98" t="s">
        <v>42</v>
      </c>
      <c r="I59" s="98"/>
      <c r="J59" s="174" t="s">
        <v>1018</v>
      </c>
      <c r="K59" s="98" t="s">
        <v>1102</v>
      </c>
      <c r="L59" s="98" t="s">
        <v>717</v>
      </c>
      <c r="M59" s="109"/>
      <c r="N59" s="109"/>
      <c r="O59" s="98" t="s">
        <v>87</v>
      </c>
      <c r="P59" s="103"/>
      <c r="Q59" s="103"/>
      <c r="R59" s="98"/>
      <c r="S59" s="98"/>
      <c r="T59" s="98"/>
      <c r="U59" s="104">
        <v>0.9</v>
      </c>
      <c r="V59" s="175"/>
      <c r="W59" s="175"/>
      <c r="X59" s="101">
        <f t="shared" si="0"/>
        <v>0.9</v>
      </c>
      <c r="Y59" s="221">
        <v>1522</v>
      </c>
      <c r="Z59" s="106" t="str">
        <f t="shared" si="2"/>
        <v>F</v>
      </c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1:38" s="107" customFormat="1">
      <c r="A60" s="97">
        <v>174</v>
      </c>
      <c r="B60" s="98" t="s">
        <v>697</v>
      </c>
      <c r="C60" s="98">
        <v>2009</v>
      </c>
      <c r="D60" s="108" t="s">
        <v>698</v>
      </c>
      <c r="E60" s="99" t="s">
        <v>20</v>
      </c>
      <c r="F60" s="100" t="s">
        <v>701</v>
      </c>
      <c r="G60" s="98" t="s">
        <v>706</v>
      </c>
      <c r="H60" s="98" t="s">
        <v>43</v>
      </c>
      <c r="I60" s="98"/>
      <c r="J60" s="174" t="s">
        <v>1018</v>
      </c>
      <c r="K60" s="98" t="s">
        <v>1083</v>
      </c>
      <c r="L60" s="98" t="s">
        <v>707</v>
      </c>
      <c r="M60" s="109"/>
      <c r="N60" s="109"/>
      <c r="O60" s="98" t="s">
        <v>707</v>
      </c>
      <c r="P60" s="103"/>
      <c r="Q60" s="103"/>
      <c r="R60" s="98"/>
      <c r="S60" s="98"/>
      <c r="T60" s="98"/>
      <c r="U60" s="104">
        <v>0.89100000000000001</v>
      </c>
      <c r="V60" s="175"/>
      <c r="W60" s="175"/>
      <c r="X60" s="101">
        <f t="shared" si="0"/>
        <v>0.89100000000000001</v>
      </c>
      <c r="Y60" s="221">
        <v>1538</v>
      </c>
      <c r="Z60" s="106" t="str">
        <f t="shared" si="2"/>
        <v>S</v>
      </c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</row>
    <row r="61" spans="1:38">
      <c r="A61" s="53">
        <v>174</v>
      </c>
      <c r="B61" s="54" t="s">
        <v>697</v>
      </c>
      <c r="C61" s="54">
        <v>2009</v>
      </c>
      <c r="D61" s="55" t="s">
        <v>698</v>
      </c>
      <c r="E61" s="56" t="s">
        <v>20</v>
      </c>
      <c r="F61" s="57" t="s">
        <v>701</v>
      </c>
      <c r="G61" s="54" t="s">
        <v>41</v>
      </c>
      <c r="H61" s="54" t="s">
        <v>41</v>
      </c>
      <c r="I61" s="54"/>
      <c r="J61" s="160" t="s">
        <v>1073</v>
      </c>
      <c r="K61" s="54" t="s">
        <v>1104</v>
      </c>
      <c r="L61" s="54" t="s">
        <v>704</v>
      </c>
      <c r="M61" s="59"/>
      <c r="N61" s="59"/>
      <c r="O61" s="54" t="s">
        <v>704</v>
      </c>
      <c r="P61" s="60"/>
      <c r="Q61" s="60"/>
      <c r="R61" s="54"/>
      <c r="S61" s="54"/>
      <c r="T61" s="54"/>
      <c r="U61" s="61">
        <v>0.88600000000000001</v>
      </c>
      <c r="V61" s="167"/>
      <c r="W61" s="167"/>
      <c r="X61" s="58">
        <f t="shared" ref="X61:X69" si="3">IF(R61&lt;&gt;0,IF(R61&gt;1,R61/100,R61),IF(U61&lt;&gt;0,IF(U61&gt;1,U61/100,U61),""))</f>
        <v>0.88600000000000001</v>
      </c>
      <c r="Y61" s="219">
        <v>1580</v>
      </c>
      <c r="Z61" s="63" t="str">
        <f t="shared" ref="Z61:Z69" si="4">IF(X61&lt;&gt;"",IF(X61&lt;0.9,"S","F"),"")</f>
        <v>S</v>
      </c>
      <c r="AA61" s="183"/>
      <c r="AB61" s="184" t="s">
        <v>1206</v>
      </c>
      <c r="AC61" s="184" t="s">
        <v>1207</v>
      </c>
      <c r="AD61" s="184" t="s">
        <v>1208</v>
      </c>
      <c r="AE61" s="184" t="s">
        <v>1209</v>
      </c>
      <c r="AF61" s="184" t="s">
        <v>1210</v>
      </c>
      <c r="AG61" s="184" t="s">
        <v>1211</v>
      </c>
    </row>
    <row r="62" spans="1:38">
      <c r="A62" s="53">
        <v>174</v>
      </c>
      <c r="B62" s="54" t="s">
        <v>697</v>
      </c>
      <c r="C62" s="54">
        <v>2009</v>
      </c>
      <c r="D62" s="55" t="s">
        <v>698</v>
      </c>
      <c r="E62" s="56" t="s">
        <v>20</v>
      </c>
      <c r="F62" s="57" t="s">
        <v>701</v>
      </c>
      <c r="G62" s="54" t="s">
        <v>730</v>
      </c>
      <c r="H62" s="54" t="s">
        <v>41</v>
      </c>
      <c r="I62" s="54"/>
      <c r="J62" s="54" t="s">
        <v>1073</v>
      </c>
      <c r="K62" s="54" t="s">
        <v>1145</v>
      </c>
      <c r="L62" s="54" t="s">
        <v>731</v>
      </c>
      <c r="M62" s="59"/>
      <c r="N62" s="59"/>
      <c r="O62" s="54" t="s">
        <v>731</v>
      </c>
      <c r="P62" s="60"/>
      <c r="Q62" s="60"/>
      <c r="R62" s="54"/>
      <c r="S62" s="54"/>
      <c r="T62" s="54"/>
      <c r="U62" s="61">
        <v>0.93300000000000005</v>
      </c>
      <c r="V62" s="167"/>
      <c r="W62" s="167"/>
      <c r="X62" s="58">
        <f t="shared" si="3"/>
        <v>0.93300000000000005</v>
      </c>
      <c r="Y62" s="219">
        <v>1583</v>
      </c>
      <c r="Z62" s="63" t="str">
        <f t="shared" si="4"/>
        <v>F</v>
      </c>
      <c r="AA62" s="184" t="s">
        <v>1352</v>
      </c>
      <c r="AB62" s="186">
        <f>AVERAGE($Y$61:$Y$69)</f>
        <v>1688.1823988888891</v>
      </c>
      <c r="AC62" s="186">
        <f>MEDIAN($Y$61:$Y$69)</f>
        <v>1651.116117</v>
      </c>
      <c r="AD62" s="186">
        <f>MAX($Y$61:$Y$69)</f>
        <v>1891</v>
      </c>
      <c r="AE62" s="186">
        <f>MIN($Y$61:$Y$69)</f>
        <v>1580</v>
      </c>
      <c r="AF62" s="186">
        <f>STDEV($Y$61:$Y$69)</f>
        <v>103.03427699412192</v>
      </c>
      <c r="AG62" s="186">
        <f>COUNT($Y$61:$Y$69)</f>
        <v>9</v>
      </c>
    </row>
    <row r="63" spans="1:38">
      <c r="A63" s="53">
        <v>174</v>
      </c>
      <c r="B63" s="54" t="s">
        <v>697</v>
      </c>
      <c r="C63" s="54">
        <v>2009</v>
      </c>
      <c r="D63" s="55" t="s">
        <v>698</v>
      </c>
      <c r="E63" s="56" t="s">
        <v>20</v>
      </c>
      <c r="F63" s="57" t="s">
        <v>701</v>
      </c>
      <c r="G63" s="54"/>
      <c r="H63" s="54"/>
      <c r="I63" s="54"/>
      <c r="J63" s="160" t="s">
        <v>1073</v>
      </c>
      <c r="K63" s="54" t="s">
        <v>1092</v>
      </c>
      <c r="L63" s="54" t="s">
        <v>724</v>
      </c>
      <c r="M63" s="59"/>
      <c r="N63" s="59"/>
      <c r="O63" s="54" t="s">
        <v>724</v>
      </c>
      <c r="P63" s="60"/>
      <c r="Q63" s="60"/>
      <c r="R63" s="54"/>
      <c r="S63" s="54"/>
      <c r="T63" s="54"/>
      <c r="U63" s="61">
        <v>0.94299999999999995</v>
      </c>
      <c r="V63" s="167"/>
      <c r="W63" s="167"/>
      <c r="X63" s="58">
        <f t="shared" si="3"/>
        <v>0.94299999999999995</v>
      </c>
      <c r="Y63" s="219">
        <v>1622</v>
      </c>
      <c r="Z63" s="63" t="str">
        <f t="shared" si="4"/>
        <v>F</v>
      </c>
      <c r="AA63" s="184" t="s">
        <v>1354</v>
      </c>
      <c r="AB63" s="186">
        <f>AVERAGE($Y$62:$Y$69)</f>
        <v>1701.7051987499999</v>
      </c>
      <c r="AC63" s="186">
        <f>MEDIAN($Y$62:$Y$69)</f>
        <v>1669.3648155000001</v>
      </c>
      <c r="AD63" s="186">
        <f>MAX($Y$62:$Y$69)</f>
        <v>1891</v>
      </c>
      <c r="AE63" s="186">
        <f>MIN($Y$62:$Y$69)</f>
        <v>1583</v>
      </c>
      <c r="AF63" s="186">
        <f>STDEV($Y$62:$Y$69)</f>
        <v>101.25084657676945</v>
      </c>
      <c r="AG63" s="186">
        <f>COUNT($Y$62:$Y$69)</f>
        <v>8</v>
      </c>
    </row>
    <row r="64" spans="1:38">
      <c r="A64" s="53">
        <v>181</v>
      </c>
      <c r="B64" s="54" t="s">
        <v>766</v>
      </c>
      <c r="C64" s="54">
        <v>2009</v>
      </c>
      <c r="D64" s="83" t="s">
        <v>767</v>
      </c>
      <c r="E64" s="84" t="s">
        <v>49</v>
      </c>
      <c r="F64" s="85" t="s">
        <v>808</v>
      </c>
      <c r="G64" s="54" t="s">
        <v>817</v>
      </c>
      <c r="H64" s="74" t="s">
        <v>38</v>
      </c>
      <c r="I64" s="74"/>
      <c r="J64" s="78" t="s">
        <v>1073</v>
      </c>
      <c r="K64" s="78" t="s">
        <v>1104</v>
      </c>
      <c r="L64" s="85" t="s">
        <v>496</v>
      </c>
      <c r="M64" s="85" t="s">
        <v>818</v>
      </c>
      <c r="N64" s="85"/>
      <c r="O64" s="85" t="s">
        <v>825</v>
      </c>
      <c r="P64" s="85"/>
      <c r="Q64" s="85"/>
      <c r="R64" s="54"/>
      <c r="S64" s="54"/>
      <c r="T64" s="54"/>
      <c r="U64" s="85">
        <v>0.92100000000000004</v>
      </c>
      <c r="V64" s="85"/>
      <c r="W64" s="85"/>
      <c r="X64" s="58">
        <f t="shared" si="3"/>
        <v>0.92100000000000004</v>
      </c>
      <c r="Y64" s="226">
        <v>1646.911959</v>
      </c>
      <c r="Z64" s="63" t="str">
        <f t="shared" si="4"/>
        <v>F</v>
      </c>
      <c r="AA64" s="184" t="s">
        <v>1353</v>
      </c>
      <c r="AB64" s="186">
        <f>+$Y$61</f>
        <v>1580</v>
      </c>
      <c r="AC64" s="186">
        <f t="shared" ref="AC64:AE64" si="5">+$Y$61</f>
        <v>1580</v>
      </c>
      <c r="AD64" s="186">
        <f t="shared" si="5"/>
        <v>1580</v>
      </c>
      <c r="AE64" s="186">
        <f t="shared" si="5"/>
        <v>1580</v>
      </c>
      <c r="AF64" s="186"/>
      <c r="AG64" s="186">
        <f>COUNT(+$Y$61)</f>
        <v>1</v>
      </c>
    </row>
    <row r="65" spans="1:38">
      <c r="A65" s="53">
        <v>181</v>
      </c>
      <c r="B65" s="54" t="s">
        <v>766</v>
      </c>
      <c r="C65" s="54">
        <v>2009</v>
      </c>
      <c r="D65" s="83" t="s">
        <v>767</v>
      </c>
      <c r="E65" s="84" t="s">
        <v>49</v>
      </c>
      <c r="F65" s="85" t="s">
        <v>808</v>
      </c>
      <c r="G65" s="54" t="s">
        <v>817</v>
      </c>
      <c r="H65" s="74" t="s">
        <v>38</v>
      </c>
      <c r="I65" s="74"/>
      <c r="J65" s="78" t="s">
        <v>1073</v>
      </c>
      <c r="K65" s="78" t="s">
        <v>1104</v>
      </c>
      <c r="L65" s="85" t="s">
        <v>496</v>
      </c>
      <c r="M65" s="85" t="s">
        <v>818</v>
      </c>
      <c r="N65" s="85"/>
      <c r="O65" s="85" t="s">
        <v>819</v>
      </c>
      <c r="P65" s="85"/>
      <c r="Q65" s="85"/>
      <c r="R65" s="54"/>
      <c r="S65" s="54"/>
      <c r="T65" s="54"/>
      <c r="U65" s="85">
        <v>0.92300000000000004</v>
      </c>
      <c r="V65" s="85"/>
      <c r="W65" s="85"/>
      <c r="X65" s="58">
        <f t="shared" si="3"/>
        <v>0.92300000000000004</v>
      </c>
      <c r="Y65" s="226">
        <v>1651.116117</v>
      </c>
      <c r="Z65" s="63" t="str">
        <f t="shared" si="4"/>
        <v>F</v>
      </c>
    </row>
    <row r="66" spans="1:38">
      <c r="A66" s="53">
        <v>181</v>
      </c>
      <c r="B66" s="54" t="s">
        <v>766</v>
      </c>
      <c r="C66" s="54">
        <v>2009</v>
      </c>
      <c r="D66" s="83" t="s">
        <v>767</v>
      </c>
      <c r="E66" s="90" t="s">
        <v>49</v>
      </c>
      <c r="F66" s="79" t="s">
        <v>808</v>
      </c>
      <c r="G66" s="54" t="s">
        <v>817</v>
      </c>
      <c r="H66" s="78" t="s">
        <v>38</v>
      </c>
      <c r="I66" s="78"/>
      <c r="J66" s="78" t="s">
        <v>1073</v>
      </c>
      <c r="K66" s="78" t="s">
        <v>1104</v>
      </c>
      <c r="L66" s="79" t="s">
        <v>496</v>
      </c>
      <c r="M66" s="79" t="s">
        <v>818</v>
      </c>
      <c r="N66" s="79"/>
      <c r="O66" s="79" t="s">
        <v>824</v>
      </c>
      <c r="P66" s="79"/>
      <c r="Q66" s="79"/>
      <c r="R66" s="54"/>
      <c r="S66" s="54"/>
      <c r="T66" s="54"/>
      <c r="U66" s="79">
        <v>0.94199999999999995</v>
      </c>
      <c r="V66" s="79"/>
      <c r="W66" s="79"/>
      <c r="X66" s="58">
        <f t="shared" si="3"/>
        <v>0.94199999999999995</v>
      </c>
      <c r="Y66" s="220">
        <v>1687.6135139999999</v>
      </c>
      <c r="Z66" s="63" t="str">
        <f t="shared" si="4"/>
        <v>F</v>
      </c>
    </row>
    <row r="67" spans="1:38">
      <c r="A67" s="53">
        <v>172</v>
      </c>
      <c r="B67" s="54" t="s">
        <v>585</v>
      </c>
      <c r="C67" s="54">
        <v>2010</v>
      </c>
      <c r="D67" s="54" t="s">
        <v>586</v>
      </c>
      <c r="E67" s="56" t="s">
        <v>589</v>
      </c>
      <c r="F67" s="57">
        <v>40232</v>
      </c>
      <c r="G67" s="54" t="s">
        <v>495</v>
      </c>
      <c r="H67" s="54" t="s">
        <v>41</v>
      </c>
      <c r="I67" s="54"/>
      <c r="J67" s="66" t="s">
        <v>1073</v>
      </c>
      <c r="K67" s="54" t="s">
        <v>1074</v>
      </c>
      <c r="L67" s="54" t="s">
        <v>626</v>
      </c>
      <c r="M67" s="88" t="s">
        <v>627</v>
      </c>
      <c r="N67" s="88" t="s">
        <v>628</v>
      </c>
      <c r="O67" s="54"/>
      <c r="P67" s="60"/>
      <c r="Q67" s="60"/>
      <c r="R67" s="54"/>
      <c r="S67" s="54"/>
      <c r="T67" s="54"/>
      <c r="U67" s="60">
        <v>0.95399999999999996</v>
      </c>
      <c r="V67" s="60"/>
      <c r="W67" s="60"/>
      <c r="X67" s="58">
        <f t="shared" si="3"/>
        <v>0.95399999999999996</v>
      </c>
      <c r="Y67" s="225">
        <v>1739</v>
      </c>
      <c r="Z67" s="63" t="str">
        <f t="shared" si="4"/>
        <v>F</v>
      </c>
    </row>
    <row r="68" spans="1:38">
      <c r="A68" s="53">
        <v>203</v>
      </c>
      <c r="B68" s="64" t="s">
        <v>940</v>
      </c>
      <c r="C68" s="96">
        <v>2011</v>
      </c>
      <c r="D68" s="64" t="s">
        <v>941</v>
      </c>
      <c r="E68" s="56" t="s">
        <v>20</v>
      </c>
      <c r="F68" s="54">
        <v>2009</v>
      </c>
      <c r="G68" s="54" t="s">
        <v>326</v>
      </c>
      <c r="H68" s="54"/>
      <c r="I68" s="54"/>
      <c r="J68" s="160" t="s">
        <v>1073</v>
      </c>
      <c r="K68" s="54" t="s">
        <v>1113</v>
      </c>
      <c r="L68" s="54" t="s">
        <v>704</v>
      </c>
      <c r="M68" s="54"/>
      <c r="N68" s="54"/>
      <c r="O68" s="54">
        <v>45</v>
      </c>
      <c r="P68" s="54"/>
      <c r="Q68" s="54"/>
      <c r="R68" s="54"/>
      <c r="S68" s="54"/>
      <c r="T68" s="54"/>
      <c r="U68" s="54">
        <v>0.95</v>
      </c>
      <c r="V68" s="54"/>
      <c r="W68" s="54"/>
      <c r="X68" s="58">
        <f t="shared" si="3"/>
        <v>0.95</v>
      </c>
      <c r="Y68" s="72">
        <v>1793</v>
      </c>
      <c r="Z68" s="63" t="str">
        <f t="shared" si="4"/>
        <v>F</v>
      </c>
    </row>
    <row r="69" spans="1:38">
      <c r="A69" s="53">
        <v>172</v>
      </c>
      <c r="B69" s="54" t="s">
        <v>585</v>
      </c>
      <c r="C69" s="54">
        <v>2010</v>
      </c>
      <c r="D69" s="54" t="s">
        <v>586</v>
      </c>
      <c r="E69" s="56" t="s">
        <v>589</v>
      </c>
      <c r="F69" s="57">
        <v>40231</v>
      </c>
      <c r="G69" s="54" t="s">
        <v>495</v>
      </c>
      <c r="H69" s="54" t="s">
        <v>41</v>
      </c>
      <c r="I69" s="54"/>
      <c r="J69" s="66" t="s">
        <v>1073</v>
      </c>
      <c r="K69" s="54" t="s">
        <v>1075</v>
      </c>
      <c r="L69" s="54" t="s">
        <v>623</v>
      </c>
      <c r="M69" s="88" t="s">
        <v>624</v>
      </c>
      <c r="N69" s="88" t="s">
        <v>625</v>
      </c>
      <c r="O69" s="54"/>
      <c r="P69" s="60"/>
      <c r="Q69" s="60"/>
      <c r="R69" s="54"/>
      <c r="S69" s="54"/>
      <c r="T69" s="54"/>
      <c r="U69" s="60">
        <v>0.95899999999999996</v>
      </c>
      <c r="V69" s="60"/>
      <c r="W69" s="60"/>
      <c r="X69" s="58">
        <f t="shared" si="3"/>
        <v>0.95899999999999996</v>
      </c>
      <c r="Y69" s="225">
        <v>1891</v>
      </c>
      <c r="Z69" s="63" t="str">
        <f t="shared" si="4"/>
        <v>F</v>
      </c>
    </row>
    <row r="70" spans="1:38" s="217" customFormat="1">
      <c r="A70" s="210">
        <v>42</v>
      </c>
      <c r="B70" s="211" t="s">
        <v>103</v>
      </c>
      <c r="C70" s="211">
        <v>1984</v>
      </c>
      <c r="D70" s="211" t="s">
        <v>104</v>
      </c>
      <c r="E70" s="212" t="s">
        <v>20</v>
      </c>
      <c r="F70" s="213">
        <v>1984</v>
      </c>
      <c r="G70" s="213" t="s">
        <v>107</v>
      </c>
      <c r="H70" s="213" t="s">
        <v>38</v>
      </c>
      <c r="I70" s="213"/>
      <c r="J70" s="213" t="s">
        <v>1015</v>
      </c>
      <c r="K70" s="213" t="s">
        <v>1157</v>
      </c>
      <c r="L70" s="213" t="s">
        <v>108</v>
      </c>
      <c r="M70" s="213" t="s">
        <v>109</v>
      </c>
      <c r="N70" s="213" t="s">
        <v>110</v>
      </c>
      <c r="O70" s="213">
        <v>10</v>
      </c>
      <c r="P70" s="213"/>
      <c r="Q70" s="213"/>
      <c r="R70" s="213"/>
      <c r="S70" s="213"/>
      <c r="T70" s="213"/>
      <c r="U70" s="213"/>
      <c r="V70" s="213"/>
      <c r="W70" s="213"/>
      <c r="X70" s="214" t="str">
        <f t="shared" ref="X70:X129" si="6">IF(R70&lt;&gt;0,IF(R70&gt;1,R70/100,R70),IF(U70&lt;&gt;0,IF(U70&gt;1,U70/100,U70),""))</f>
        <v/>
      </c>
      <c r="Y70" s="227">
        <v>1136</v>
      </c>
      <c r="Z70" s="215" t="str">
        <f t="shared" ref="Z70:Z97" si="7">IF(X70&lt;&gt;"",IF(X70&lt;0.9,"S","F"),"")</f>
        <v/>
      </c>
      <c r="AA70" s="239" t="str">
        <f>+K70</f>
        <v>SE pine - slash pine needles</v>
      </c>
      <c r="AB70" s="237" t="s">
        <v>1206</v>
      </c>
      <c r="AC70" s="237" t="s">
        <v>1207</v>
      </c>
      <c r="AD70" s="237" t="s">
        <v>1208</v>
      </c>
      <c r="AE70" s="237" t="s">
        <v>1209</v>
      </c>
      <c r="AF70" s="237" t="s">
        <v>1210</v>
      </c>
      <c r="AG70" s="237" t="s">
        <v>1211</v>
      </c>
      <c r="AH70" s="216"/>
      <c r="AI70" s="216"/>
      <c r="AJ70" s="216"/>
      <c r="AK70" s="216"/>
      <c r="AL70" s="216"/>
    </row>
    <row r="71" spans="1:38" s="217" customFormat="1">
      <c r="A71" s="210">
        <v>42</v>
      </c>
      <c r="B71" s="211" t="s">
        <v>103</v>
      </c>
      <c r="C71" s="211">
        <v>1984</v>
      </c>
      <c r="D71" s="211" t="s">
        <v>104</v>
      </c>
      <c r="E71" s="212" t="s">
        <v>20</v>
      </c>
      <c r="F71" s="213">
        <v>1984</v>
      </c>
      <c r="G71" s="213" t="s">
        <v>107</v>
      </c>
      <c r="H71" s="213" t="s">
        <v>38</v>
      </c>
      <c r="I71" s="213"/>
      <c r="J71" s="213" t="s">
        <v>1015</v>
      </c>
      <c r="K71" s="213" t="s">
        <v>1157</v>
      </c>
      <c r="L71" s="213" t="s">
        <v>108</v>
      </c>
      <c r="M71" s="213" t="s">
        <v>109</v>
      </c>
      <c r="N71" s="213" t="s">
        <v>110</v>
      </c>
      <c r="O71" s="213">
        <v>11</v>
      </c>
      <c r="P71" s="213"/>
      <c r="Q71" s="213"/>
      <c r="R71" s="213"/>
      <c r="S71" s="213"/>
      <c r="T71" s="213"/>
      <c r="U71" s="213"/>
      <c r="V71" s="213"/>
      <c r="W71" s="213"/>
      <c r="X71" s="214" t="str">
        <f t="shared" si="6"/>
        <v/>
      </c>
      <c r="Y71" s="227">
        <v>1123</v>
      </c>
      <c r="Z71" s="215" t="str">
        <f t="shared" si="7"/>
        <v/>
      </c>
      <c r="AA71" s="237" t="s">
        <v>1187</v>
      </c>
      <c r="AB71" s="238">
        <f>AVERAGE($Y$70:$Y$121)</f>
        <v>1027.6648461538462</v>
      </c>
      <c r="AC71" s="238">
        <f>MEDIAN($Y$70:$Y$121)</f>
        <v>1147.5</v>
      </c>
      <c r="AD71" s="238">
        <f>MAX($Y$70:$Y$121)</f>
        <v>1968</v>
      </c>
      <c r="AE71" s="238">
        <f>MIN($Y$70:$Y$121)</f>
        <v>65.08</v>
      </c>
      <c r="AF71" s="238">
        <f>STDEV($Y$70:$Y$121)</f>
        <v>716.05931606425406</v>
      </c>
      <c r="AG71" s="237">
        <f>COUNT($Y$70:$Y$121)</f>
        <v>52</v>
      </c>
      <c r="AH71" s="216"/>
      <c r="AI71" s="216"/>
      <c r="AJ71" s="216"/>
      <c r="AK71" s="216"/>
      <c r="AL71" s="216"/>
    </row>
    <row r="72" spans="1:38" s="217" customFormat="1">
      <c r="A72" s="210">
        <v>42</v>
      </c>
      <c r="B72" s="211" t="s">
        <v>103</v>
      </c>
      <c r="C72" s="211">
        <v>1984</v>
      </c>
      <c r="D72" s="211" t="s">
        <v>104</v>
      </c>
      <c r="E72" s="212" t="s">
        <v>20</v>
      </c>
      <c r="F72" s="213">
        <v>1984</v>
      </c>
      <c r="G72" s="213" t="s">
        <v>107</v>
      </c>
      <c r="H72" s="213" t="s">
        <v>38</v>
      </c>
      <c r="I72" s="213"/>
      <c r="J72" s="213" t="s">
        <v>1015</v>
      </c>
      <c r="K72" s="213" t="s">
        <v>1157</v>
      </c>
      <c r="L72" s="213" t="s">
        <v>108</v>
      </c>
      <c r="M72" s="213" t="s">
        <v>109</v>
      </c>
      <c r="N72" s="213" t="s">
        <v>110</v>
      </c>
      <c r="O72" s="213">
        <v>12</v>
      </c>
      <c r="P72" s="213"/>
      <c r="Q72" s="213"/>
      <c r="R72" s="213"/>
      <c r="S72" s="213"/>
      <c r="T72" s="213"/>
      <c r="U72" s="213"/>
      <c r="V72" s="213"/>
      <c r="W72" s="213"/>
      <c r="X72" s="214" t="str">
        <f t="shared" si="6"/>
        <v/>
      </c>
      <c r="Y72" s="227">
        <v>1176</v>
      </c>
      <c r="Z72" s="215" t="str">
        <f t="shared" si="7"/>
        <v/>
      </c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</row>
    <row r="73" spans="1:38" s="217" customFormat="1">
      <c r="A73" s="210">
        <v>42</v>
      </c>
      <c r="B73" s="211" t="s">
        <v>103</v>
      </c>
      <c r="C73" s="211">
        <v>1984</v>
      </c>
      <c r="D73" s="211" t="s">
        <v>104</v>
      </c>
      <c r="E73" s="212" t="s">
        <v>20</v>
      </c>
      <c r="F73" s="213">
        <v>1984</v>
      </c>
      <c r="G73" s="213" t="s">
        <v>107</v>
      </c>
      <c r="H73" s="213" t="s">
        <v>38</v>
      </c>
      <c r="I73" s="213"/>
      <c r="J73" s="213" t="s">
        <v>1015</v>
      </c>
      <c r="K73" s="213" t="s">
        <v>1157</v>
      </c>
      <c r="L73" s="213" t="s">
        <v>108</v>
      </c>
      <c r="M73" s="213" t="s">
        <v>109</v>
      </c>
      <c r="N73" s="213" t="s">
        <v>110</v>
      </c>
      <c r="O73" s="213">
        <v>13</v>
      </c>
      <c r="P73" s="213"/>
      <c r="Q73" s="213"/>
      <c r="R73" s="213"/>
      <c r="S73" s="213"/>
      <c r="T73" s="213"/>
      <c r="U73" s="213"/>
      <c r="V73" s="213"/>
      <c r="W73" s="213"/>
      <c r="X73" s="214" t="str">
        <f t="shared" si="6"/>
        <v/>
      </c>
      <c r="Y73" s="227">
        <v>1130</v>
      </c>
      <c r="Z73" s="215" t="str">
        <f t="shared" si="7"/>
        <v/>
      </c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</row>
    <row r="74" spans="1:38" s="217" customFormat="1">
      <c r="A74" s="210">
        <v>42</v>
      </c>
      <c r="B74" s="211" t="s">
        <v>103</v>
      </c>
      <c r="C74" s="211">
        <v>1984</v>
      </c>
      <c r="D74" s="211" t="s">
        <v>104</v>
      </c>
      <c r="E74" s="212" t="s">
        <v>20</v>
      </c>
      <c r="F74" s="213">
        <v>1984</v>
      </c>
      <c r="G74" s="213" t="s">
        <v>107</v>
      </c>
      <c r="H74" s="213" t="s">
        <v>38</v>
      </c>
      <c r="I74" s="213"/>
      <c r="J74" s="213" t="s">
        <v>1015</v>
      </c>
      <c r="K74" s="213" t="s">
        <v>1157</v>
      </c>
      <c r="L74" s="213" t="s">
        <v>108</v>
      </c>
      <c r="M74" s="213" t="s">
        <v>109</v>
      </c>
      <c r="N74" s="213" t="s">
        <v>110</v>
      </c>
      <c r="O74" s="213">
        <v>14</v>
      </c>
      <c r="P74" s="213"/>
      <c r="Q74" s="213"/>
      <c r="R74" s="213"/>
      <c r="S74" s="213"/>
      <c r="T74" s="213"/>
      <c r="U74" s="213"/>
      <c r="V74" s="213"/>
      <c r="W74" s="213"/>
      <c r="X74" s="214" t="str">
        <f t="shared" si="6"/>
        <v/>
      </c>
      <c r="Y74" s="227">
        <v>1129</v>
      </c>
      <c r="Z74" s="215" t="str">
        <f t="shared" si="7"/>
        <v/>
      </c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</row>
    <row r="75" spans="1:38" s="217" customFormat="1">
      <c r="A75" s="210">
        <v>42</v>
      </c>
      <c r="B75" s="211" t="s">
        <v>103</v>
      </c>
      <c r="C75" s="211">
        <v>1984</v>
      </c>
      <c r="D75" s="211" t="s">
        <v>104</v>
      </c>
      <c r="E75" s="212" t="s">
        <v>20</v>
      </c>
      <c r="F75" s="213">
        <v>1984</v>
      </c>
      <c r="G75" s="213" t="s">
        <v>107</v>
      </c>
      <c r="H75" s="213" t="s">
        <v>38</v>
      </c>
      <c r="I75" s="213"/>
      <c r="J75" s="213" t="s">
        <v>1015</v>
      </c>
      <c r="K75" s="213" t="s">
        <v>1157</v>
      </c>
      <c r="L75" s="213" t="s">
        <v>108</v>
      </c>
      <c r="M75" s="213" t="s">
        <v>109</v>
      </c>
      <c r="N75" s="213" t="s">
        <v>110</v>
      </c>
      <c r="O75" s="213">
        <v>15</v>
      </c>
      <c r="P75" s="213"/>
      <c r="Q75" s="213"/>
      <c r="R75" s="213"/>
      <c r="S75" s="213"/>
      <c r="T75" s="213"/>
      <c r="U75" s="213"/>
      <c r="V75" s="213"/>
      <c r="W75" s="213"/>
      <c r="X75" s="214" t="str">
        <f t="shared" si="6"/>
        <v/>
      </c>
      <c r="Y75" s="227">
        <v>1129</v>
      </c>
      <c r="Z75" s="215" t="str">
        <f t="shared" si="7"/>
        <v/>
      </c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</row>
    <row r="76" spans="1:38" s="217" customFormat="1">
      <c r="A76" s="210">
        <v>42</v>
      </c>
      <c r="B76" s="211" t="s">
        <v>103</v>
      </c>
      <c r="C76" s="211">
        <v>1984</v>
      </c>
      <c r="D76" s="211" t="s">
        <v>104</v>
      </c>
      <c r="E76" s="212" t="s">
        <v>20</v>
      </c>
      <c r="F76" s="213">
        <v>1984</v>
      </c>
      <c r="G76" s="213" t="s">
        <v>107</v>
      </c>
      <c r="H76" s="213" t="s">
        <v>38</v>
      </c>
      <c r="I76" s="213"/>
      <c r="J76" s="213" t="s">
        <v>1015</v>
      </c>
      <c r="K76" s="213" t="s">
        <v>1157</v>
      </c>
      <c r="L76" s="213" t="s">
        <v>108</v>
      </c>
      <c r="M76" s="213" t="s">
        <v>109</v>
      </c>
      <c r="N76" s="213" t="s">
        <v>110</v>
      </c>
      <c r="O76" s="213">
        <v>16</v>
      </c>
      <c r="P76" s="213"/>
      <c r="Q76" s="213"/>
      <c r="R76" s="213"/>
      <c r="S76" s="213"/>
      <c r="T76" s="213"/>
      <c r="U76" s="213"/>
      <c r="V76" s="213"/>
      <c r="W76" s="213"/>
      <c r="X76" s="214" t="str">
        <f t="shared" si="6"/>
        <v/>
      </c>
      <c r="Y76" s="227">
        <v>1729</v>
      </c>
      <c r="Z76" s="215" t="str">
        <f t="shared" si="7"/>
        <v/>
      </c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</row>
    <row r="77" spans="1:38" s="217" customFormat="1">
      <c r="A77" s="210">
        <v>42</v>
      </c>
      <c r="B77" s="211" t="s">
        <v>103</v>
      </c>
      <c r="C77" s="211">
        <v>1984</v>
      </c>
      <c r="D77" s="211" t="s">
        <v>104</v>
      </c>
      <c r="E77" s="212" t="s">
        <v>20</v>
      </c>
      <c r="F77" s="213">
        <v>1984</v>
      </c>
      <c r="G77" s="213" t="s">
        <v>107</v>
      </c>
      <c r="H77" s="213" t="s">
        <v>38</v>
      </c>
      <c r="I77" s="213"/>
      <c r="J77" s="213" t="s">
        <v>1015</v>
      </c>
      <c r="K77" s="213" t="s">
        <v>1157</v>
      </c>
      <c r="L77" s="213" t="s">
        <v>108</v>
      </c>
      <c r="M77" s="213" t="s">
        <v>109</v>
      </c>
      <c r="N77" s="213" t="s">
        <v>110</v>
      </c>
      <c r="O77" s="213">
        <v>17</v>
      </c>
      <c r="P77" s="213"/>
      <c r="Q77" s="213"/>
      <c r="R77" s="213"/>
      <c r="S77" s="213"/>
      <c r="T77" s="213"/>
      <c r="U77" s="213"/>
      <c r="V77" s="213"/>
      <c r="W77" s="213"/>
      <c r="X77" s="214" t="str">
        <f t="shared" si="6"/>
        <v/>
      </c>
      <c r="Y77" s="227">
        <v>1102</v>
      </c>
      <c r="Z77" s="215" t="str">
        <f t="shared" si="7"/>
        <v/>
      </c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</row>
    <row r="78" spans="1:38" s="217" customFormat="1">
      <c r="A78" s="210">
        <v>42</v>
      </c>
      <c r="B78" s="211" t="s">
        <v>103</v>
      </c>
      <c r="C78" s="211">
        <v>1984</v>
      </c>
      <c r="D78" s="211" t="s">
        <v>104</v>
      </c>
      <c r="E78" s="212" t="s">
        <v>20</v>
      </c>
      <c r="F78" s="213">
        <v>1984</v>
      </c>
      <c r="G78" s="213" t="s">
        <v>107</v>
      </c>
      <c r="H78" s="213" t="s">
        <v>38</v>
      </c>
      <c r="I78" s="213"/>
      <c r="J78" s="213" t="s">
        <v>1015</v>
      </c>
      <c r="K78" s="213" t="s">
        <v>1157</v>
      </c>
      <c r="L78" s="213" t="s">
        <v>108</v>
      </c>
      <c r="M78" s="213" t="s">
        <v>109</v>
      </c>
      <c r="N78" s="213" t="s">
        <v>110</v>
      </c>
      <c r="O78" s="213">
        <v>18</v>
      </c>
      <c r="P78" s="213"/>
      <c r="Q78" s="213"/>
      <c r="R78" s="213"/>
      <c r="S78" s="213"/>
      <c r="T78" s="213"/>
      <c r="U78" s="213"/>
      <c r="V78" s="213"/>
      <c r="W78" s="213"/>
      <c r="X78" s="214" t="str">
        <f t="shared" si="6"/>
        <v/>
      </c>
      <c r="Y78" s="227">
        <v>1165</v>
      </c>
      <c r="Z78" s="215" t="str">
        <f t="shared" si="7"/>
        <v/>
      </c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</row>
    <row r="79" spans="1:38" s="217" customFormat="1">
      <c r="A79" s="210">
        <v>42</v>
      </c>
      <c r="B79" s="211" t="s">
        <v>103</v>
      </c>
      <c r="C79" s="211">
        <v>1984</v>
      </c>
      <c r="D79" s="211" t="s">
        <v>104</v>
      </c>
      <c r="E79" s="212" t="s">
        <v>20</v>
      </c>
      <c r="F79" s="213">
        <v>1984</v>
      </c>
      <c r="G79" s="213" t="s">
        <v>107</v>
      </c>
      <c r="H79" s="213" t="s">
        <v>38</v>
      </c>
      <c r="I79" s="213"/>
      <c r="J79" s="213" t="s">
        <v>1015</v>
      </c>
      <c r="K79" s="213" t="s">
        <v>1157</v>
      </c>
      <c r="L79" s="213" t="s">
        <v>108</v>
      </c>
      <c r="M79" s="213" t="s">
        <v>109</v>
      </c>
      <c r="N79" s="213" t="s">
        <v>110</v>
      </c>
      <c r="O79" s="213">
        <v>19</v>
      </c>
      <c r="P79" s="213"/>
      <c r="Q79" s="213"/>
      <c r="R79" s="213"/>
      <c r="S79" s="213"/>
      <c r="T79" s="213"/>
      <c r="U79" s="213"/>
      <c r="V79" s="213"/>
      <c r="W79" s="213"/>
      <c r="X79" s="214" t="str">
        <f t="shared" si="6"/>
        <v/>
      </c>
      <c r="Y79" s="227">
        <v>1094</v>
      </c>
      <c r="Z79" s="215" t="str">
        <f t="shared" si="7"/>
        <v/>
      </c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</row>
    <row r="80" spans="1:38" s="217" customFormat="1">
      <c r="A80" s="210">
        <v>42</v>
      </c>
      <c r="B80" s="211" t="s">
        <v>103</v>
      </c>
      <c r="C80" s="211">
        <v>1984</v>
      </c>
      <c r="D80" s="211" t="s">
        <v>104</v>
      </c>
      <c r="E80" s="212" t="s">
        <v>20</v>
      </c>
      <c r="F80" s="213">
        <v>1984</v>
      </c>
      <c r="G80" s="213" t="s">
        <v>107</v>
      </c>
      <c r="H80" s="213" t="s">
        <v>38</v>
      </c>
      <c r="I80" s="213"/>
      <c r="J80" s="213" t="s">
        <v>1015</v>
      </c>
      <c r="K80" s="213" t="s">
        <v>1157</v>
      </c>
      <c r="L80" s="213" t="s">
        <v>108</v>
      </c>
      <c r="M80" s="213" t="s">
        <v>109</v>
      </c>
      <c r="N80" s="213" t="s">
        <v>110</v>
      </c>
      <c r="O80" s="213">
        <v>40</v>
      </c>
      <c r="P80" s="213"/>
      <c r="Q80" s="213"/>
      <c r="R80" s="213"/>
      <c r="S80" s="213"/>
      <c r="T80" s="213"/>
      <c r="U80" s="213"/>
      <c r="V80" s="213"/>
      <c r="W80" s="213"/>
      <c r="X80" s="214" t="str">
        <f t="shared" si="6"/>
        <v/>
      </c>
      <c r="Y80" s="227">
        <v>72.08</v>
      </c>
      <c r="Z80" s="215" t="str">
        <f t="shared" si="7"/>
        <v/>
      </c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</row>
    <row r="81" spans="1:38" s="217" customFormat="1">
      <c r="A81" s="210">
        <v>42</v>
      </c>
      <c r="B81" s="211" t="s">
        <v>103</v>
      </c>
      <c r="C81" s="211">
        <v>1984</v>
      </c>
      <c r="D81" s="211" t="s">
        <v>104</v>
      </c>
      <c r="E81" s="212" t="s">
        <v>20</v>
      </c>
      <c r="F81" s="213">
        <v>1984</v>
      </c>
      <c r="G81" s="213" t="s">
        <v>107</v>
      </c>
      <c r="H81" s="213" t="s">
        <v>38</v>
      </c>
      <c r="I81" s="213"/>
      <c r="J81" s="213" t="s">
        <v>1015</v>
      </c>
      <c r="K81" s="213" t="s">
        <v>1157</v>
      </c>
      <c r="L81" s="213" t="s">
        <v>108</v>
      </c>
      <c r="M81" s="213" t="s">
        <v>109</v>
      </c>
      <c r="N81" s="213" t="s">
        <v>110</v>
      </c>
      <c r="O81" s="213">
        <v>41</v>
      </c>
      <c r="P81" s="213"/>
      <c r="Q81" s="213"/>
      <c r="R81" s="213"/>
      <c r="S81" s="213"/>
      <c r="T81" s="213"/>
      <c r="U81" s="213"/>
      <c r="V81" s="213"/>
      <c r="W81" s="213"/>
      <c r="X81" s="214" t="str">
        <f t="shared" si="6"/>
        <v/>
      </c>
      <c r="Y81" s="227">
        <v>68.052000000000007</v>
      </c>
      <c r="Z81" s="215" t="str">
        <f t="shared" si="7"/>
        <v/>
      </c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</row>
    <row r="82" spans="1:38" s="217" customFormat="1">
      <c r="A82" s="210">
        <v>42</v>
      </c>
      <c r="B82" s="211" t="s">
        <v>103</v>
      </c>
      <c r="C82" s="211">
        <v>1984</v>
      </c>
      <c r="D82" s="211" t="s">
        <v>104</v>
      </c>
      <c r="E82" s="212" t="s">
        <v>20</v>
      </c>
      <c r="F82" s="213">
        <v>1984</v>
      </c>
      <c r="G82" s="213" t="s">
        <v>107</v>
      </c>
      <c r="H82" s="213" t="s">
        <v>38</v>
      </c>
      <c r="I82" s="213"/>
      <c r="J82" s="213" t="s">
        <v>1015</v>
      </c>
      <c r="K82" s="213" t="s">
        <v>1157</v>
      </c>
      <c r="L82" s="213" t="s">
        <v>108</v>
      </c>
      <c r="M82" s="213" t="s">
        <v>109</v>
      </c>
      <c r="N82" s="213" t="s">
        <v>110</v>
      </c>
      <c r="O82" s="213">
        <v>42</v>
      </c>
      <c r="P82" s="213"/>
      <c r="Q82" s="213"/>
      <c r="R82" s="213"/>
      <c r="S82" s="213"/>
      <c r="T82" s="213"/>
      <c r="U82" s="213"/>
      <c r="V82" s="213"/>
      <c r="W82" s="213"/>
      <c r="X82" s="214" t="str">
        <f t="shared" si="6"/>
        <v/>
      </c>
      <c r="Y82" s="227">
        <v>76.88</v>
      </c>
      <c r="Z82" s="215" t="str">
        <f t="shared" si="7"/>
        <v/>
      </c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</row>
    <row r="83" spans="1:38" s="217" customFormat="1">
      <c r="A83" s="210">
        <v>42</v>
      </c>
      <c r="B83" s="211" t="s">
        <v>103</v>
      </c>
      <c r="C83" s="211">
        <v>1984</v>
      </c>
      <c r="D83" s="211" t="s">
        <v>104</v>
      </c>
      <c r="E83" s="212" t="s">
        <v>20</v>
      </c>
      <c r="F83" s="213">
        <v>1984</v>
      </c>
      <c r="G83" s="213" t="s">
        <v>107</v>
      </c>
      <c r="H83" s="213" t="s">
        <v>38</v>
      </c>
      <c r="I83" s="213"/>
      <c r="J83" s="213" t="s">
        <v>1015</v>
      </c>
      <c r="K83" s="213" t="s">
        <v>1157</v>
      </c>
      <c r="L83" s="213" t="s">
        <v>108</v>
      </c>
      <c r="M83" s="213" t="s">
        <v>109</v>
      </c>
      <c r="N83" s="213" t="s">
        <v>110</v>
      </c>
      <c r="O83" s="213">
        <v>43</v>
      </c>
      <c r="P83" s="213"/>
      <c r="Q83" s="213"/>
      <c r="R83" s="213"/>
      <c r="S83" s="213"/>
      <c r="T83" s="213"/>
      <c r="U83" s="213"/>
      <c r="V83" s="213"/>
      <c r="W83" s="213"/>
      <c r="X83" s="214" t="str">
        <f t="shared" si="6"/>
        <v/>
      </c>
      <c r="Y83" s="227">
        <v>70.319999999999993</v>
      </c>
      <c r="Z83" s="215" t="str">
        <f t="shared" si="7"/>
        <v/>
      </c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</row>
    <row r="84" spans="1:38" s="217" customFormat="1">
      <c r="A84" s="210">
        <v>42</v>
      </c>
      <c r="B84" s="211" t="s">
        <v>103</v>
      </c>
      <c r="C84" s="211">
        <v>1984</v>
      </c>
      <c r="D84" s="211" t="s">
        <v>104</v>
      </c>
      <c r="E84" s="212" t="s">
        <v>20</v>
      </c>
      <c r="F84" s="213">
        <v>1984</v>
      </c>
      <c r="G84" s="213" t="s">
        <v>107</v>
      </c>
      <c r="H84" s="213" t="s">
        <v>38</v>
      </c>
      <c r="I84" s="213"/>
      <c r="J84" s="213" t="s">
        <v>1015</v>
      </c>
      <c r="K84" s="213" t="s">
        <v>1157</v>
      </c>
      <c r="L84" s="213" t="s">
        <v>108</v>
      </c>
      <c r="M84" s="213" t="s">
        <v>109</v>
      </c>
      <c r="N84" s="213" t="s">
        <v>110</v>
      </c>
      <c r="O84" s="213">
        <v>44</v>
      </c>
      <c r="P84" s="213"/>
      <c r="Q84" s="213"/>
      <c r="R84" s="213"/>
      <c r="S84" s="213"/>
      <c r="T84" s="213"/>
      <c r="U84" s="213"/>
      <c r="V84" s="213"/>
      <c r="W84" s="213"/>
      <c r="X84" s="214" t="str">
        <f t="shared" si="6"/>
        <v/>
      </c>
      <c r="Y84" s="227">
        <v>69.33</v>
      </c>
      <c r="Z84" s="215" t="str">
        <f t="shared" si="7"/>
        <v/>
      </c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</row>
    <row r="85" spans="1:38" s="217" customFormat="1">
      <c r="A85" s="210">
        <v>42</v>
      </c>
      <c r="B85" s="211" t="s">
        <v>103</v>
      </c>
      <c r="C85" s="211">
        <v>1984</v>
      </c>
      <c r="D85" s="211" t="s">
        <v>104</v>
      </c>
      <c r="E85" s="212" t="s">
        <v>20</v>
      </c>
      <c r="F85" s="213">
        <v>1984</v>
      </c>
      <c r="G85" s="213" t="s">
        <v>107</v>
      </c>
      <c r="H85" s="213" t="s">
        <v>38</v>
      </c>
      <c r="I85" s="213"/>
      <c r="J85" s="213" t="s">
        <v>1015</v>
      </c>
      <c r="K85" s="213" t="s">
        <v>1157</v>
      </c>
      <c r="L85" s="213" t="s">
        <v>108</v>
      </c>
      <c r="M85" s="213" t="s">
        <v>109</v>
      </c>
      <c r="N85" s="213" t="s">
        <v>110</v>
      </c>
      <c r="O85" s="213">
        <v>50</v>
      </c>
      <c r="P85" s="213"/>
      <c r="Q85" s="213"/>
      <c r="R85" s="213"/>
      <c r="S85" s="213"/>
      <c r="T85" s="213"/>
      <c r="U85" s="213"/>
      <c r="V85" s="213"/>
      <c r="W85" s="213"/>
      <c r="X85" s="214" t="str">
        <f t="shared" si="6"/>
        <v/>
      </c>
      <c r="Y85" s="227">
        <v>114.4</v>
      </c>
      <c r="Z85" s="215" t="str">
        <f t="shared" si="7"/>
        <v/>
      </c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</row>
    <row r="86" spans="1:38" s="217" customFormat="1">
      <c r="A86" s="210">
        <v>42</v>
      </c>
      <c r="B86" s="211" t="s">
        <v>103</v>
      </c>
      <c r="C86" s="211">
        <v>1984</v>
      </c>
      <c r="D86" s="211" t="s">
        <v>104</v>
      </c>
      <c r="E86" s="212" t="s">
        <v>20</v>
      </c>
      <c r="F86" s="213">
        <v>1984</v>
      </c>
      <c r="G86" s="213" t="s">
        <v>107</v>
      </c>
      <c r="H86" s="213" t="s">
        <v>38</v>
      </c>
      <c r="I86" s="213"/>
      <c r="J86" s="213" t="s">
        <v>1015</v>
      </c>
      <c r="K86" s="213" t="s">
        <v>1157</v>
      </c>
      <c r="L86" s="213" t="s">
        <v>108</v>
      </c>
      <c r="M86" s="213" t="s">
        <v>109</v>
      </c>
      <c r="N86" s="213" t="s">
        <v>110</v>
      </c>
      <c r="O86" s="213">
        <v>51</v>
      </c>
      <c r="P86" s="213"/>
      <c r="Q86" s="213"/>
      <c r="R86" s="213"/>
      <c r="S86" s="213"/>
      <c r="T86" s="213"/>
      <c r="U86" s="213"/>
      <c r="V86" s="213"/>
      <c r="W86" s="213"/>
      <c r="X86" s="214" t="str">
        <f t="shared" si="6"/>
        <v/>
      </c>
      <c r="Y86" s="227">
        <v>71.739999999999995</v>
      </c>
      <c r="Z86" s="215" t="str">
        <f t="shared" si="7"/>
        <v/>
      </c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</row>
    <row r="87" spans="1:38" s="217" customFormat="1">
      <c r="A87" s="210">
        <v>42</v>
      </c>
      <c r="B87" s="211" t="s">
        <v>103</v>
      </c>
      <c r="C87" s="211">
        <v>1984</v>
      </c>
      <c r="D87" s="211" t="s">
        <v>104</v>
      </c>
      <c r="E87" s="212" t="s">
        <v>20</v>
      </c>
      <c r="F87" s="213">
        <v>1984</v>
      </c>
      <c r="G87" s="213" t="s">
        <v>107</v>
      </c>
      <c r="H87" s="213" t="s">
        <v>38</v>
      </c>
      <c r="I87" s="213"/>
      <c r="J87" s="213" t="s">
        <v>1015</v>
      </c>
      <c r="K87" s="213" t="s">
        <v>1157</v>
      </c>
      <c r="L87" s="213" t="s">
        <v>108</v>
      </c>
      <c r="M87" s="213" t="s">
        <v>109</v>
      </c>
      <c r="N87" s="213" t="s">
        <v>110</v>
      </c>
      <c r="O87" s="213">
        <v>52</v>
      </c>
      <c r="P87" s="213"/>
      <c r="Q87" s="213"/>
      <c r="R87" s="213"/>
      <c r="S87" s="213"/>
      <c r="T87" s="213"/>
      <c r="U87" s="213"/>
      <c r="V87" s="213"/>
      <c r="W87" s="213"/>
      <c r="X87" s="214" t="str">
        <f t="shared" si="6"/>
        <v/>
      </c>
      <c r="Y87" s="227">
        <v>124.5</v>
      </c>
      <c r="Z87" s="215" t="str">
        <f t="shared" si="7"/>
        <v/>
      </c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</row>
    <row r="88" spans="1:38" s="217" customFormat="1">
      <c r="A88" s="210">
        <v>42</v>
      </c>
      <c r="B88" s="211" t="s">
        <v>103</v>
      </c>
      <c r="C88" s="211">
        <v>1984</v>
      </c>
      <c r="D88" s="211" t="s">
        <v>104</v>
      </c>
      <c r="E88" s="212" t="s">
        <v>20</v>
      </c>
      <c r="F88" s="213">
        <v>1984</v>
      </c>
      <c r="G88" s="213" t="s">
        <v>107</v>
      </c>
      <c r="H88" s="213" t="s">
        <v>38</v>
      </c>
      <c r="I88" s="213"/>
      <c r="J88" s="213" t="s">
        <v>1015</v>
      </c>
      <c r="K88" s="213" t="s">
        <v>1157</v>
      </c>
      <c r="L88" s="213" t="s">
        <v>108</v>
      </c>
      <c r="M88" s="213" t="s">
        <v>109</v>
      </c>
      <c r="N88" s="213" t="s">
        <v>110</v>
      </c>
      <c r="O88" s="213">
        <v>53</v>
      </c>
      <c r="P88" s="213"/>
      <c r="Q88" s="213"/>
      <c r="R88" s="213"/>
      <c r="S88" s="213"/>
      <c r="T88" s="213"/>
      <c r="U88" s="213"/>
      <c r="V88" s="213"/>
      <c r="W88" s="213"/>
      <c r="X88" s="214" t="str">
        <f t="shared" si="6"/>
        <v/>
      </c>
      <c r="Y88" s="227">
        <v>79.790000000000006</v>
      </c>
      <c r="Z88" s="215" t="str">
        <f t="shared" si="7"/>
        <v/>
      </c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</row>
    <row r="89" spans="1:38" s="217" customFormat="1">
      <c r="A89" s="210">
        <v>42</v>
      </c>
      <c r="B89" s="211" t="s">
        <v>103</v>
      </c>
      <c r="C89" s="211">
        <v>1984</v>
      </c>
      <c r="D89" s="211" t="s">
        <v>104</v>
      </c>
      <c r="E89" s="212" t="s">
        <v>20</v>
      </c>
      <c r="F89" s="213">
        <v>1984</v>
      </c>
      <c r="G89" s="213" t="s">
        <v>107</v>
      </c>
      <c r="H89" s="213" t="s">
        <v>38</v>
      </c>
      <c r="I89" s="213"/>
      <c r="J89" s="213" t="s">
        <v>1015</v>
      </c>
      <c r="K89" s="213" t="s">
        <v>1157</v>
      </c>
      <c r="L89" s="213" t="s">
        <v>108</v>
      </c>
      <c r="M89" s="213" t="s">
        <v>109</v>
      </c>
      <c r="N89" s="213" t="s">
        <v>110</v>
      </c>
      <c r="O89" s="213">
        <v>54</v>
      </c>
      <c r="P89" s="213"/>
      <c r="Q89" s="213"/>
      <c r="R89" s="213"/>
      <c r="S89" s="213"/>
      <c r="T89" s="213"/>
      <c r="U89" s="213"/>
      <c r="V89" s="213"/>
      <c r="W89" s="213"/>
      <c r="X89" s="214" t="str">
        <f t="shared" si="6"/>
        <v/>
      </c>
      <c r="Y89" s="227">
        <v>76.260000000000005</v>
      </c>
      <c r="Z89" s="215" t="str">
        <f t="shared" si="7"/>
        <v/>
      </c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</row>
    <row r="90" spans="1:38" s="217" customFormat="1">
      <c r="A90" s="210">
        <v>42</v>
      </c>
      <c r="B90" s="211" t="s">
        <v>103</v>
      </c>
      <c r="C90" s="211">
        <v>1984</v>
      </c>
      <c r="D90" s="211" t="s">
        <v>104</v>
      </c>
      <c r="E90" s="212" t="s">
        <v>20</v>
      </c>
      <c r="F90" s="213">
        <v>1984</v>
      </c>
      <c r="G90" s="213" t="s">
        <v>107</v>
      </c>
      <c r="H90" s="213" t="s">
        <v>38</v>
      </c>
      <c r="I90" s="213"/>
      <c r="J90" s="213" t="s">
        <v>1015</v>
      </c>
      <c r="K90" s="213" t="s">
        <v>1157</v>
      </c>
      <c r="L90" s="213" t="s">
        <v>108</v>
      </c>
      <c r="M90" s="213" t="s">
        <v>109</v>
      </c>
      <c r="N90" s="213" t="s">
        <v>110</v>
      </c>
      <c r="O90" s="213">
        <v>60</v>
      </c>
      <c r="P90" s="213"/>
      <c r="Q90" s="213"/>
      <c r="R90" s="213"/>
      <c r="S90" s="213"/>
      <c r="T90" s="213"/>
      <c r="U90" s="213"/>
      <c r="V90" s="213"/>
      <c r="W90" s="213"/>
      <c r="X90" s="214" t="str">
        <f t="shared" si="6"/>
        <v/>
      </c>
      <c r="Y90" s="227">
        <v>107.2</v>
      </c>
      <c r="Z90" s="215" t="str">
        <f t="shared" si="7"/>
        <v/>
      </c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</row>
    <row r="91" spans="1:38" s="217" customFormat="1">
      <c r="A91" s="210">
        <v>42</v>
      </c>
      <c r="B91" s="211" t="s">
        <v>103</v>
      </c>
      <c r="C91" s="211">
        <v>1984</v>
      </c>
      <c r="D91" s="211" t="s">
        <v>104</v>
      </c>
      <c r="E91" s="212" t="s">
        <v>20</v>
      </c>
      <c r="F91" s="213">
        <v>1984</v>
      </c>
      <c r="G91" s="213" t="s">
        <v>107</v>
      </c>
      <c r="H91" s="213" t="s">
        <v>38</v>
      </c>
      <c r="I91" s="213"/>
      <c r="J91" s="213" t="s">
        <v>1015</v>
      </c>
      <c r="K91" s="213" t="s">
        <v>1157</v>
      </c>
      <c r="L91" s="213" t="s">
        <v>108</v>
      </c>
      <c r="M91" s="213" t="s">
        <v>109</v>
      </c>
      <c r="N91" s="213" t="s">
        <v>110</v>
      </c>
      <c r="O91" s="213">
        <v>61</v>
      </c>
      <c r="P91" s="213"/>
      <c r="Q91" s="213"/>
      <c r="R91" s="213"/>
      <c r="S91" s="213"/>
      <c r="T91" s="213"/>
      <c r="U91" s="213"/>
      <c r="V91" s="213"/>
      <c r="W91" s="213"/>
      <c r="X91" s="214" t="str">
        <f t="shared" si="6"/>
        <v/>
      </c>
      <c r="Y91" s="227">
        <v>87.75</v>
      </c>
      <c r="Z91" s="215" t="str">
        <f t="shared" si="7"/>
        <v/>
      </c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</row>
    <row r="92" spans="1:38" s="217" customFormat="1">
      <c r="A92" s="210">
        <v>42</v>
      </c>
      <c r="B92" s="211" t="s">
        <v>103</v>
      </c>
      <c r="C92" s="211">
        <v>1984</v>
      </c>
      <c r="D92" s="211" t="s">
        <v>104</v>
      </c>
      <c r="E92" s="212" t="s">
        <v>20</v>
      </c>
      <c r="F92" s="213">
        <v>1984</v>
      </c>
      <c r="G92" s="213" t="s">
        <v>107</v>
      </c>
      <c r="H92" s="213" t="s">
        <v>38</v>
      </c>
      <c r="I92" s="213"/>
      <c r="J92" s="213" t="s">
        <v>1015</v>
      </c>
      <c r="K92" s="213" t="s">
        <v>1157</v>
      </c>
      <c r="L92" s="213" t="s">
        <v>108</v>
      </c>
      <c r="M92" s="213" t="s">
        <v>109</v>
      </c>
      <c r="N92" s="213" t="s">
        <v>110</v>
      </c>
      <c r="O92" s="213">
        <v>62</v>
      </c>
      <c r="P92" s="213"/>
      <c r="Q92" s="213"/>
      <c r="R92" s="213"/>
      <c r="S92" s="213"/>
      <c r="T92" s="213"/>
      <c r="U92" s="213"/>
      <c r="V92" s="213"/>
      <c r="W92" s="213"/>
      <c r="X92" s="214" t="str">
        <f t="shared" si="6"/>
        <v/>
      </c>
      <c r="Y92" s="227">
        <v>86.99</v>
      </c>
      <c r="Z92" s="215" t="str">
        <f t="shared" si="7"/>
        <v/>
      </c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</row>
    <row r="93" spans="1:38" s="217" customFormat="1">
      <c r="A93" s="210">
        <v>42</v>
      </c>
      <c r="B93" s="211" t="s">
        <v>103</v>
      </c>
      <c r="C93" s="211">
        <v>1984</v>
      </c>
      <c r="D93" s="211" t="s">
        <v>104</v>
      </c>
      <c r="E93" s="212" t="s">
        <v>20</v>
      </c>
      <c r="F93" s="213">
        <v>1984</v>
      </c>
      <c r="G93" s="213" t="s">
        <v>107</v>
      </c>
      <c r="H93" s="213" t="s">
        <v>38</v>
      </c>
      <c r="I93" s="213"/>
      <c r="J93" s="213" t="s">
        <v>1015</v>
      </c>
      <c r="K93" s="213" t="s">
        <v>1157</v>
      </c>
      <c r="L93" s="213" t="s">
        <v>108</v>
      </c>
      <c r="M93" s="213" t="s">
        <v>109</v>
      </c>
      <c r="N93" s="213" t="s">
        <v>110</v>
      </c>
      <c r="O93" s="213">
        <v>63</v>
      </c>
      <c r="P93" s="213"/>
      <c r="Q93" s="213"/>
      <c r="R93" s="213"/>
      <c r="S93" s="213"/>
      <c r="T93" s="213"/>
      <c r="U93" s="213"/>
      <c r="V93" s="213"/>
      <c r="W93" s="213"/>
      <c r="X93" s="214" t="str">
        <f t="shared" si="6"/>
        <v/>
      </c>
      <c r="Y93" s="227">
        <v>86.81</v>
      </c>
      <c r="Z93" s="215" t="str">
        <f t="shared" si="7"/>
        <v/>
      </c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</row>
    <row r="94" spans="1:38" s="217" customFormat="1">
      <c r="A94" s="210">
        <v>42</v>
      </c>
      <c r="B94" s="211" t="s">
        <v>103</v>
      </c>
      <c r="C94" s="211">
        <v>1984</v>
      </c>
      <c r="D94" s="211" t="s">
        <v>104</v>
      </c>
      <c r="E94" s="212" t="s">
        <v>20</v>
      </c>
      <c r="F94" s="213">
        <v>1984</v>
      </c>
      <c r="G94" s="213" t="s">
        <v>107</v>
      </c>
      <c r="H94" s="213" t="s">
        <v>38</v>
      </c>
      <c r="I94" s="213"/>
      <c r="J94" s="213" t="s">
        <v>1015</v>
      </c>
      <c r="K94" s="213" t="s">
        <v>1157</v>
      </c>
      <c r="L94" s="213" t="s">
        <v>108</v>
      </c>
      <c r="M94" s="213" t="s">
        <v>109</v>
      </c>
      <c r="N94" s="213" t="s">
        <v>110</v>
      </c>
      <c r="O94" s="213">
        <v>64</v>
      </c>
      <c r="P94" s="213"/>
      <c r="Q94" s="213"/>
      <c r="R94" s="213"/>
      <c r="S94" s="213"/>
      <c r="T94" s="213"/>
      <c r="U94" s="213"/>
      <c r="V94" s="213"/>
      <c r="W94" s="213"/>
      <c r="X94" s="214" t="str">
        <f t="shared" si="6"/>
        <v/>
      </c>
      <c r="Y94" s="227">
        <v>66.89</v>
      </c>
      <c r="Z94" s="215" t="str">
        <f t="shared" si="7"/>
        <v/>
      </c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</row>
    <row r="95" spans="1:38" s="217" customFormat="1">
      <c r="A95" s="210">
        <v>42</v>
      </c>
      <c r="B95" s="211" t="s">
        <v>103</v>
      </c>
      <c r="C95" s="211">
        <v>1984</v>
      </c>
      <c r="D95" s="211" t="s">
        <v>104</v>
      </c>
      <c r="E95" s="212" t="s">
        <v>20</v>
      </c>
      <c r="F95" s="213">
        <v>1984</v>
      </c>
      <c r="G95" s="213" t="s">
        <v>107</v>
      </c>
      <c r="H95" s="213" t="s">
        <v>38</v>
      </c>
      <c r="I95" s="213"/>
      <c r="J95" s="213" t="s">
        <v>1015</v>
      </c>
      <c r="K95" s="213" t="s">
        <v>1157</v>
      </c>
      <c r="L95" s="213" t="s">
        <v>108</v>
      </c>
      <c r="M95" s="213" t="s">
        <v>109</v>
      </c>
      <c r="N95" s="213" t="s">
        <v>110</v>
      </c>
      <c r="O95" s="213">
        <v>65</v>
      </c>
      <c r="P95" s="213"/>
      <c r="Q95" s="213"/>
      <c r="R95" s="213"/>
      <c r="S95" s="213"/>
      <c r="T95" s="213"/>
      <c r="U95" s="213"/>
      <c r="V95" s="213"/>
      <c r="W95" s="213"/>
      <c r="X95" s="214" t="str">
        <f t="shared" si="6"/>
        <v/>
      </c>
      <c r="Y95" s="227">
        <v>65.08</v>
      </c>
      <c r="Z95" s="215" t="str">
        <f t="shared" si="7"/>
        <v/>
      </c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</row>
    <row r="96" spans="1:38" s="217" customFormat="1">
      <c r="A96" s="210">
        <v>42</v>
      </c>
      <c r="B96" s="211" t="s">
        <v>103</v>
      </c>
      <c r="C96" s="211">
        <v>1984</v>
      </c>
      <c r="D96" s="211" t="s">
        <v>104</v>
      </c>
      <c r="E96" s="212" t="s">
        <v>20</v>
      </c>
      <c r="F96" s="213">
        <v>1984</v>
      </c>
      <c r="G96" s="213" t="s">
        <v>107</v>
      </c>
      <c r="H96" s="213" t="s">
        <v>38</v>
      </c>
      <c r="I96" s="213"/>
      <c r="J96" s="213" t="s">
        <v>1015</v>
      </c>
      <c r="K96" s="213" t="s">
        <v>1157</v>
      </c>
      <c r="L96" s="213" t="s">
        <v>108</v>
      </c>
      <c r="M96" s="213" t="s">
        <v>109</v>
      </c>
      <c r="N96" s="213" t="s">
        <v>110</v>
      </c>
      <c r="O96" s="213">
        <v>70</v>
      </c>
      <c r="P96" s="213"/>
      <c r="Q96" s="213"/>
      <c r="R96" s="213"/>
      <c r="S96" s="213"/>
      <c r="T96" s="213"/>
      <c r="U96" s="213"/>
      <c r="V96" s="213"/>
      <c r="W96" s="213"/>
      <c r="X96" s="214" t="str">
        <f t="shared" si="6"/>
        <v/>
      </c>
      <c r="Y96" s="227">
        <v>828.5</v>
      </c>
      <c r="Z96" s="215" t="str">
        <f t="shared" si="7"/>
        <v/>
      </c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</row>
    <row r="97" spans="1:38" s="217" customFormat="1">
      <c r="A97" s="210">
        <v>42</v>
      </c>
      <c r="B97" s="211" t="s">
        <v>103</v>
      </c>
      <c r="C97" s="211">
        <v>1984</v>
      </c>
      <c r="D97" s="211" t="s">
        <v>104</v>
      </c>
      <c r="E97" s="212" t="s">
        <v>20</v>
      </c>
      <c r="F97" s="213">
        <v>1984</v>
      </c>
      <c r="G97" s="213" t="s">
        <v>107</v>
      </c>
      <c r="H97" s="213" t="s">
        <v>38</v>
      </c>
      <c r="I97" s="213"/>
      <c r="J97" s="213" t="s">
        <v>1015</v>
      </c>
      <c r="K97" s="213" t="s">
        <v>1157</v>
      </c>
      <c r="L97" s="213" t="s">
        <v>108</v>
      </c>
      <c r="M97" s="213" t="s">
        <v>109</v>
      </c>
      <c r="N97" s="213" t="s">
        <v>110</v>
      </c>
      <c r="O97" s="213">
        <v>71</v>
      </c>
      <c r="P97" s="213"/>
      <c r="Q97" s="213"/>
      <c r="R97" s="213"/>
      <c r="S97" s="213"/>
      <c r="T97" s="213"/>
      <c r="U97" s="213"/>
      <c r="V97" s="213"/>
      <c r="W97" s="213"/>
      <c r="X97" s="214" t="str">
        <f t="shared" si="6"/>
        <v/>
      </c>
      <c r="Y97" s="227">
        <v>1180</v>
      </c>
      <c r="Z97" s="215" t="str">
        <f t="shared" si="7"/>
        <v/>
      </c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</row>
    <row r="98" spans="1:38" s="217" customFormat="1">
      <c r="A98" s="210">
        <v>42</v>
      </c>
      <c r="B98" s="211" t="s">
        <v>103</v>
      </c>
      <c r="C98" s="211">
        <v>1984</v>
      </c>
      <c r="D98" s="211" t="s">
        <v>104</v>
      </c>
      <c r="E98" s="212" t="s">
        <v>20</v>
      </c>
      <c r="F98" s="213">
        <v>1984</v>
      </c>
      <c r="G98" s="213" t="s">
        <v>107</v>
      </c>
      <c r="H98" s="213" t="s">
        <v>38</v>
      </c>
      <c r="I98" s="213"/>
      <c r="J98" s="213" t="s">
        <v>1015</v>
      </c>
      <c r="K98" s="213" t="s">
        <v>1157</v>
      </c>
      <c r="L98" s="213" t="s">
        <v>108</v>
      </c>
      <c r="M98" s="213" t="s">
        <v>109</v>
      </c>
      <c r="N98" s="213" t="s">
        <v>110</v>
      </c>
      <c r="O98" s="213">
        <v>72</v>
      </c>
      <c r="P98" s="213"/>
      <c r="Q98" s="213"/>
      <c r="R98" s="213"/>
      <c r="S98" s="213"/>
      <c r="T98" s="213"/>
      <c r="U98" s="213"/>
      <c r="V98" s="213"/>
      <c r="W98" s="213"/>
      <c r="X98" s="214" t="str">
        <f t="shared" si="6"/>
        <v/>
      </c>
      <c r="Y98" s="227">
        <v>1690</v>
      </c>
      <c r="Z98" s="215" t="str">
        <f t="shared" ref="Z98:Z121" si="8">IF(X98&lt;&gt;"",IF(X98&lt;0.9,"S","F"),"")</f>
        <v/>
      </c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</row>
    <row r="99" spans="1:38" s="217" customFormat="1">
      <c r="A99" s="210">
        <v>42</v>
      </c>
      <c r="B99" s="211" t="s">
        <v>103</v>
      </c>
      <c r="C99" s="211">
        <v>1984</v>
      </c>
      <c r="D99" s="211" t="s">
        <v>104</v>
      </c>
      <c r="E99" s="212" t="s">
        <v>20</v>
      </c>
      <c r="F99" s="213">
        <v>1984</v>
      </c>
      <c r="G99" s="213" t="s">
        <v>107</v>
      </c>
      <c r="H99" s="213" t="s">
        <v>38</v>
      </c>
      <c r="I99" s="213"/>
      <c r="J99" s="213" t="s">
        <v>1015</v>
      </c>
      <c r="K99" s="213" t="s">
        <v>1157</v>
      </c>
      <c r="L99" s="213" t="s">
        <v>108</v>
      </c>
      <c r="M99" s="213" t="s">
        <v>109</v>
      </c>
      <c r="N99" s="213" t="s">
        <v>110</v>
      </c>
      <c r="O99" s="213">
        <v>73</v>
      </c>
      <c r="P99" s="213"/>
      <c r="Q99" s="213"/>
      <c r="R99" s="213"/>
      <c r="S99" s="213"/>
      <c r="T99" s="213"/>
      <c r="U99" s="213"/>
      <c r="V99" s="213"/>
      <c r="W99" s="213"/>
      <c r="X99" s="214" t="str">
        <f t="shared" si="6"/>
        <v/>
      </c>
      <c r="Y99" s="227">
        <v>1117</v>
      </c>
      <c r="Z99" s="215" t="str">
        <f t="shared" si="8"/>
        <v/>
      </c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</row>
    <row r="100" spans="1:38" s="217" customFormat="1">
      <c r="A100" s="210">
        <v>42</v>
      </c>
      <c r="B100" s="211" t="s">
        <v>103</v>
      </c>
      <c r="C100" s="211">
        <v>1984</v>
      </c>
      <c r="D100" s="211" t="s">
        <v>104</v>
      </c>
      <c r="E100" s="212" t="s">
        <v>20</v>
      </c>
      <c r="F100" s="213">
        <v>1984</v>
      </c>
      <c r="G100" s="213" t="s">
        <v>107</v>
      </c>
      <c r="H100" s="213" t="s">
        <v>38</v>
      </c>
      <c r="I100" s="213"/>
      <c r="J100" s="213" t="s">
        <v>1015</v>
      </c>
      <c r="K100" s="213" t="s">
        <v>1157</v>
      </c>
      <c r="L100" s="213" t="s">
        <v>108</v>
      </c>
      <c r="M100" s="213" t="s">
        <v>109</v>
      </c>
      <c r="N100" s="213" t="s">
        <v>110</v>
      </c>
      <c r="O100" s="213">
        <v>74</v>
      </c>
      <c r="P100" s="213"/>
      <c r="Q100" s="213"/>
      <c r="R100" s="213"/>
      <c r="S100" s="213"/>
      <c r="T100" s="213"/>
      <c r="U100" s="213"/>
      <c r="V100" s="213"/>
      <c r="W100" s="213"/>
      <c r="X100" s="214" t="str">
        <f t="shared" si="6"/>
        <v/>
      </c>
      <c r="Y100" s="227">
        <v>1159</v>
      </c>
      <c r="Z100" s="215" t="str">
        <f t="shared" si="8"/>
        <v/>
      </c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</row>
    <row r="101" spans="1:38" s="217" customFormat="1">
      <c r="A101" s="210">
        <v>42</v>
      </c>
      <c r="B101" s="211" t="s">
        <v>103</v>
      </c>
      <c r="C101" s="211">
        <v>1984</v>
      </c>
      <c r="D101" s="211" t="s">
        <v>104</v>
      </c>
      <c r="E101" s="212" t="s">
        <v>20</v>
      </c>
      <c r="F101" s="213">
        <v>1984</v>
      </c>
      <c r="G101" s="213" t="s">
        <v>107</v>
      </c>
      <c r="H101" s="213" t="s">
        <v>38</v>
      </c>
      <c r="I101" s="213"/>
      <c r="J101" s="213" t="s">
        <v>1015</v>
      </c>
      <c r="K101" s="213" t="s">
        <v>1157</v>
      </c>
      <c r="L101" s="213" t="s">
        <v>108</v>
      </c>
      <c r="M101" s="213" t="s">
        <v>109</v>
      </c>
      <c r="N101" s="213" t="s">
        <v>110</v>
      </c>
      <c r="O101" s="213">
        <v>75</v>
      </c>
      <c r="P101" s="213"/>
      <c r="Q101" s="213"/>
      <c r="R101" s="213"/>
      <c r="S101" s="213"/>
      <c r="T101" s="213"/>
      <c r="U101" s="213"/>
      <c r="V101" s="213"/>
      <c r="W101" s="213"/>
      <c r="X101" s="214" t="str">
        <f t="shared" si="6"/>
        <v/>
      </c>
      <c r="Y101" s="227">
        <v>1832</v>
      </c>
      <c r="Z101" s="215" t="str">
        <f t="shared" si="8"/>
        <v/>
      </c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</row>
    <row r="102" spans="1:38" s="217" customFormat="1">
      <c r="A102" s="210">
        <v>42</v>
      </c>
      <c r="B102" s="211" t="s">
        <v>103</v>
      </c>
      <c r="C102" s="211">
        <v>1984</v>
      </c>
      <c r="D102" s="211" t="s">
        <v>104</v>
      </c>
      <c r="E102" s="212" t="s">
        <v>20</v>
      </c>
      <c r="F102" s="213">
        <v>1984</v>
      </c>
      <c r="G102" s="213" t="s">
        <v>107</v>
      </c>
      <c r="H102" s="213" t="s">
        <v>38</v>
      </c>
      <c r="I102" s="213"/>
      <c r="J102" s="213" t="s">
        <v>1015</v>
      </c>
      <c r="K102" s="213" t="s">
        <v>1157</v>
      </c>
      <c r="L102" s="213" t="s">
        <v>108</v>
      </c>
      <c r="M102" s="213" t="s">
        <v>109</v>
      </c>
      <c r="N102" s="213" t="s">
        <v>110</v>
      </c>
      <c r="O102" s="213" t="s">
        <v>112</v>
      </c>
      <c r="P102" s="213"/>
      <c r="Q102" s="213"/>
      <c r="R102" s="213"/>
      <c r="S102" s="213"/>
      <c r="T102" s="213"/>
      <c r="U102" s="213"/>
      <c r="V102" s="213"/>
      <c r="W102" s="213"/>
      <c r="X102" s="214" t="str">
        <f t="shared" si="6"/>
        <v/>
      </c>
      <c r="Y102" s="227">
        <v>83</v>
      </c>
      <c r="Z102" s="215" t="str">
        <f t="shared" si="8"/>
        <v/>
      </c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</row>
    <row r="103" spans="1:38" s="217" customFormat="1">
      <c r="A103" s="210">
        <v>42</v>
      </c>
      <c r="B103" s="211" t="s">
        <v>103</v>
      </c>
      <c r="C103" s="211">
        <v>1984</v>
      </c>
      <c r="D103" s="211" t="s">
        <v>104</v>
      </c>
      <c r="E103" s="212" t="s">
        <v>20</v>
      </c>
      <c r="F103" s="213">
        <v>1984</v>
      </c>
      <c r="G103" s="213" t="s">
        <v>107</v>
      </c>
      <c r="H103" s="213" t="s">
        <v>38</v>
      </c>
      <c r="I103" s="213"/>
      <c r="J103" s="213" t="s">
        <v>1015</v>
      </c>
      <c r="K103" s="213" t="s">
        <v>1157</v>
      </c>
      <c r="L103" s="213" t="s">
        <v>108</v>
      </c>
      <c r="M103" s="213" t="s">
        <v>109</v>
      </c>
      <c r="N103" s="213" t="s">
        <v>110</v>
      </c>
      <c r="O103" s="213" t="s">
        <v>111</v>
      </c>
      <c r="P103" s="213"/>
      <c r="Q103" s="213"/>
      <c r="R103" s="213"/>
      <c r="S103" s="213"/>
      <c r="T103" s="213"/>
      <c r="U103" s="213"/>
      <c r="V103" s="213"/>
      <c r="W103" s="213"/>
      <c r="X103" s="214" t="str">
        <f t="shared" si="6"/>
        <v/>
      </c>
      <c r="Y103" s="227">
        <v>1233</v>
      </c>
      <c r="Z103" s="215" t="str">
        <f t="shared" si="8"/>
        <v/>
      </c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</row>
    <row r="104" spans="1:38" s="217" customFormat="1">
      <c r="A104" s="210">
        <v>130</v>
      </c>
      <c r="B104" s="211" t="s">
        <v>32</v>
      </c>
      <c r="C104" s="211">
        <v>1982</v>
      </c>
      <c r="D104" s="211" t="s">
        <v>470</v>
      </c>
      <c r="E104" s="212" t="s">
        <v>20</v>
      </c>
      <c r="F104" s="211">
        <v>1982</v>
      </c>
      <c r="G104" s="213"/>
      <c r="H104" s="213" t="s">
        <v>38</v>
      </c>
      <c r="I104" s="213"/>
      <c r="J104" s="213" t="s">
        <v>1015</v>
      </c>
      <c r="K104" s="213" t="s">
        <v>1157</v>
      </c>
      <c r="L104" s="213" t="s">
        <v>473</v>
      </c>
      <c r="M104" s="213" t="s">
        <v>474</v>
      </c>
      <c r="N104" s="213"/>
      <c r="O104" s="213" t="s">
        <v>484</v>
      </c>
      <c r="P104" s="213"/>
      <c r="Q104" s="213"/>
      <c r="R104" s="213"/>
      <c r="S104" s="213"/>
      <c r="T104" s="213"/>
      <c r="U104" s="213"/>
      <c r="V104" s="213"/>
      <c r="W104" s="213"/>
      <c r="X104" s="214" t="str">
        <f t="shared" si="6"/>
        <v/>
      </c>
      <c r="Y104" s="227">
        <v>1610</v>
      </c>
      <c r="Z104" s="215" t="str">
        <f t="shared" si="8"/>
        <v/>
      </c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</row>
    <row r="105" spans="1:38" s="217" customFormat="1">
      <c r="A105" s="210">
        <v>130</v>
      </c>
      <c r="B105" s="211" t="s">
        <v>32</v>
      </c>
      <c r="C105" s="211">
        <v>1982</v>
      </c>
      <c r="D105" s="211" t="s">
        <v>470</v>
      </c>
      <c r="E105" s="212" t="s">
        <v>20</v>
      </c>
      <c r="F105" s="211">
        <v>1982</v>
      </c>
      <c r="G105" s="213"/>
      <c r="H105" s="213" t="s">
        <v>38</v>
      </c>
      <c r="I105" s="213"/>
      <c r="J105" s="213" t="s">
        <v>1015</v>
      </c>
      <c r="K105" s="213" t="s">
        <v>1157</v>
      </c>
      <c r="L105" s="213" t="s">
        <v>473</v>
      </c>
      <c r="M105" s="213" t="s">
        <v>474</v>
      </c>
      <c r="N105" s="213"/>
      <c r="O105" s="213" t="s">
        <v>485</v>
      </c>
      <c r="P105" s="213"/>
      <c r="Q105" s="213"/>
      <c r="R105" s="213"/>
      <c r="S105" s="213"/>
      <c r="T105" s="213"/>
      <c r="U105" s="213"/>
      <c r="V105" s="213"/>
      <c r="W105" s="213"/>
      <c r="X105" s="214" t="str">
        <f t="shared" si="6"/>
        <v/>
      </c>
      <c r="Y105" s="227">
        <v>1846</v>
      </c>
      <c r="Z105" s="215" t="str">
        <f t="shared" si="8"/>
        <v/>
      </c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</row>
    <row r="106" spans="1:38" s="217" customFormat="1">
      <c r="A106" s="210">
        <v>130</v>
      </c>
      <c r="B106" s="211" t="s">
        <v>32</v>
      </c>
      <c r="C106" s="211">
        <v>1982</v>
      </c>
      <c r="D106" s="211" t="s">
        <v>470</v>
      </c>
      <c r="E106" s="212" t="s">
        <v>20</v>
      </c>
      <c r="F106" s="211">
        <v>1982</v>
      </c>
      <c r="G106" s="213"/>
      <c r="H106" s="213" t="s">
        <v>38</v>
      </c>
      <c r="I106" s="213"/>
      <c r="J106" s="213" t="s">
        <v>1015</v>
      </c>
      <c r="K106" s="213" t="s">
        <v>1157</v>
      </c>
      <c r="L106" s="213" t="s">
        <v>473</v>
      </c>
      <c r="M106" s="213" t="s">
        <v>474</v>
      </c>
      <c r="N106" s="213"/>
      <c r="O106" s="213" t="s">
        <v>486</v>
      </c>
      <c r="P106" s="213"/>
      <c r="Q106" s="213"/>
      <c r="R106" s="213"/>
      <c r="S106" s="213"/>
      <c r="T106" s="213"/>
      <c r="U106" s="213"/>
      <c r="V106" s="213"/>
      <c r="W106" s="213"/>
      <c r="X106" s="214" t="str">
        <f t="shared" si="6"/>
        <v/>
      </c>
      <c r="Y106" s="227">
        <v>1717</v>
      </c>
      <c r="Z106" s="215" t="str">
        <f t="shared" si="8"/>
        <v/>
      </c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</row>
    <row r="107" spans="1:38" s="217" customFormat="1">
      <c r="A107" s="210">
        <v>130</v>
      </c>
      <c r="B107" s="211" t="s">
        <v>32</v>
      </c>
      <c r="C107" s="211">
        <v>1982</v>
      </c>
      <c r="D107" s="211" t="s">
        <v>470</v>
      </c>
      <c r="E107" s="212" t="s">
        <v>20</v>
      </c>
      <c r="F107" s="211">
        <v>1982</v>
      </c>
      <c r="G107" s="213"/>
      <c r="H107" s="213" t="s">
        <v>38</v>
      </c>
      <c r="I107" s="213"/>
      <c r="J107" s="213" t="s">
        <v>1015</v>
      </c>
      <c r="K107" s="213" t="s">
        <v>1157</v>
      </c>
      <c r="L107" s="213" t="s">
        <v>473</v>
      </c>
      <c r="M107" s="213" t="s">
        <v>474</v>
      </c>
      <c r="N107" s="213"/>
      <c r="O107" s="213" t="s">
        <v>487</v>
      </c>
      <c r="P107" s="213"/>
      <c r="Q107" s="213"/>
      <c r="R107" s="213"/>
      <c r="S107" s="213"/>
      <c r="T107" s="213"/>
      <c r="U107" s="213"/>
      <c r="V107" s="213"/>
      <c r="W107" s="213"/>
      <c r="X107" s="214" t="str">
        <f t="shared" si="6"/>
        <v/>
      </c>
      <c r="Y107" s="227">
        <v>1520</v>
      </c>
      <c r="Z107" s="215" t="str">
        <f t="shared" si="8"/>
        <v/>
      </c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</row>
    <row r="108" spans="1:38" s="217" customFormat="1">
      <c r="A108" s="210">
        <v>130</v>
      </c>
      <c r="B108" s="211" t="s">
        <v>32</v>
      </c>
      <c r="C108" s="211">
        <v>1982</v>
      </c>
      <c r="D108" s="211" t="s">
        <v>470</v>
      </c>
      <c r="E108" s="212" t="s">
        <v>20</v>
      </c>
      <c r="F108" s="211">
        <v>1982</v>
      </c>
      <c r="G108" s="213"/>
      <c r="H108" s="213" t="s">
        <v>38</v>
      </c>
      <c r="I108" s="213"/>
      <c r="J108" s="213" t="s">
        <v>1015</v>
      </c>
      <c r="K108" s="213" t="s">
        <v>1157</v>
      </c>
      <c r="L108" s="213" t="s">
        <v>473</v>
      </c>
      <c r="M108" s="213" t="s">
        <v>474</v>
      </c>
      <c r="N108" s="213"/>
      <c r="O108" s="213" t="s">
        <v>488</v>
      </c>
      <c r="P108" s="213"/>
      <c r="Q108" s="213"/>
      <c r="R108" s="213"/>
      <c r="S108" s="213"/>
      <c r="T108" s="213"/>
      <c r="U108" s="213"/>
      <c r="V108" s="213"/>
      <c r="W108" s="213"/>
      <c r="X108" s="214" t="str">
        <f t="shared" si="6"/>
        <v/>
      </c>
      <c r="Y108" s="227">
        <v>1867</v>
      </c>
      <c r="Z108" s="215" t="str">
        <f t="shared" si="8"/>
        <v/>
      </c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</row>
    <row r="109" spans="1:38" s="217" customFormat="1">
      <c r="A109" s="210">
        <v>130</v>
      </c>
      <c r="B109" s="211" t="s">
        <v>32</v>
      </c>
      <c r="C109" s="211">
        <v>1982</v>
      </c>
      <c r="D109" s="211" t="s">
        <v>470</v>
      </c>
      <c r="E109" s="212" t="s">
        <v>20</v>
      </c>
      <c r="F109" s="211">
        <v>1982</v>
      </c>
      <c r="G109" s="213"/>
      <c r="H109" s="213" t="s">
        <v>38</v>
      </c>
      <c r="I109" s="213"/>
      <c r="J109" s="213" t="s">
        <v>1015</v>
      </c>
      <c r="K109" s="213" t="s">
        <v>1157</v>
      </c>
      <c r="L109" s="213" t="s">
        <v>473</v>
      </c>
      <c r="M109" s="213" t="s">
        <v>474</v>
      </c>
      <c r="N109" s="213"/>
      <c r="O109" s="213" t="s">
        <v>489</v>
      </c>
      <c r="P109" s="213"/>
      <c r="Q109" s="213"/>
      <c r="R109" s="213"/>
      <c r="S109" s="213"/>
      <c r="T109" s="213"/>
      <c r="U109" s="213"/>
      <c r="V109" s="213"/>
      <c r="W109" s="213"/>
      <c r="X109" s="214" t="str">
        <f t="shared" si="6"/>
        <v/>
      </c>
      <c r="Y109" s="227">
        <v>1861</v>
      </c>
      <c r="Z109" s="215" t="str">
        <f t="shared" si="8"/>
        <v/>
      </c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</row>
    <row r="110" spans="1:38" s="217" customFormat="1">
      <c r="A110" s="210">
        <v>130</v>
      </c>
      <c r="B110" s="211" t="s">
        <v>32</v>
      </c>
      <c r="C110" s="211">
        <v>1982</v>
      </c>
      <c r="D110" s="211" t="s">
        <v>470</v>
      </c>
      <c r="E110" s="212" t="s">
        <v>20</v>
      </c>
      <c r="F110" s="211">
        <v>1982</v>
      </c>
      <c r="G110" s="213"/>
      <c r="H110" s="213" t="s">
        <v>38</v>
      </c>
      <c r="I110" s="213"/>
      <c r="J110" s="213" t="s">
        <v>1015</v>
      </c>
      <c r="K110" s="213" t="s">
        <v>1157</v>
      </c>
      <c r="L110" s="213" t="s">
        <v>473</v>
      </c>
      <c r="M110" s="213" t="s">
        <v>474</v>
      </c>
      <c r="N110" s="213"/>
      <c r="O110" s="213" t="s">
        <v>490</v>
      </c>
      <c r="P110" s="213"/>
      <c r="Q110" s="213"/>
      <c r="R110" s="213"/>
      <c r="S110" s="213"/>
      <c r="T110" s="213"/>
      <c r="U110" s="213"/>
      <c r="V110" s="213"/>
      <c r="W110" s="213"/>
      <c r="X110" s="214" t="str">
        <f t="shared" si="6"/>
        <v/>
      </c>
      <c r="Y110" s="227">
        <v>1968</v>
      </c>
      <c r="Z110" s="215" t="str">
        <f t="shared" si="8"/>
        <v/>
      </c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</row>
    <row r="111" spans="1:38" s="217" customFormat="1">
      <c r="A111" s="210">
        <v>130</v>
      </c>
      <c r="B111" s="211" t="s">
        <v>32</v>
      </c>
      <c r="C111" s="211">
        <v>1982</v>
      </c>
      <c r="D111" s="211" t="s">
        <v>470</v>
      </c>
      <c r="E111" s="212" t="s">
        <v>20</v>
      </c>
      <c r="F111" s="211">
        <v>1982</v>
      </c>
      <c r="G111" s="213"/>
      <c r="H111" s="213" t="s">
        <v>38</v>
      </c>
      <c r="I111" s="213"/>
      <c r="J111" s="213" t="s">
        <v>1015</v>
      </c>
      <c r="K111" s="213" t="s">
        <v>1157</v>
      </c>
      <c r="L111" s="213" t="s">
        <v>473</v>
      </c>
      <c r="M111" s="213" t="s">
        <v>474</v>
      </c>
      <c r="N111" s="213"/>
      <c r="O111" s="213" t="s">
        <v>491</v>
      </c>
      <c r="P111" s="213"/>
      <c r="Q111" s="213"/>
      <c r="R111" s="213"/>
      <c r="S111" s="213"/>
      <c r="T111" s="213"/>
      <c r="U111" s="213"/>
      <c r="V111" s="213"/>
      <c r="W111" s="213"/>
      <c r="X111" s="214" t="str">
        <f t="shared" si="6"/>
        <v/>
      </c>
      <c r="Y111" s="227">
        <v>1783</v>
      </c>
      <c r="Z111" s="215" t="str">
        <f t="shared" si="8"/>
        <v/>
      </c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</row>
    <row r="112" spans="1:38" s="217" customFormat="1">
      <c r="A112" s="210">
        <v>130</v>
      </c>
      <c r="B112" s="211" t="s">
        <v>32</v>
      </c>
      <c r="C112" s="211">
        <v>1982</v>
      </c>
      <c r="D112" s="211" t="s">
        <v>470</v>
      </c>
      <c r="E112" s="212" t="s">
        <v>20</v>
      </c>
      <c r="F112" s="211">
        <v>1982</v>
      </c>
      <c r="G112" s="213"/>
      <c r="H112" s="213" t="s">
        <v>38</v>
      </c>
      <c r="I112" s="213"/>
      <c r="J112" s="213" t="s">
        <v>1015</v>
      </c>
      <c r="K112" s="213" t="s">
        <v>1157</v>
      </c>
      <c r="L112" s="213" t="s">
        <v>473</v>
      </c>
      <c r="M112" s="213" t="s">
        <v>474</v>
      </c>
      <c r="N112" s="213"/>
      <c r="O112" s="213" t="s">
        <v>492</v>
      </c>
      <c r="P112" s="213"/>
      <c r="Q112" s="213"/>
      <c r="R112" s="213"/>
      <c r="S112" s="213"/>
      <c r="T112" s="213"/>
      <c r="U112" s="213"/>
      <c r="V112" s="213"/>
      <c r="W112" s="213"/>
      <c r="X112" s="214" t="str">
        <f t="shared" si="6"/>
        <v/>
      </c>
      <c r="Y112" s="227">
        <v>1549</v>
      </c>
      <c r="Z112" s="215" t="str">
        <f t="shared" si="8"/>
        <v/>
      </c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</row>
    <row r="113" spans="1:38" s="217" customFormat="1">
      <c r="A113" s="210">
        <v>130</v>
      </c>
      <c r="B113" s="211" t="s">
        <v>32</v>
      </c>
      <c r="C113" s="211">
        <v>1982</v>
      </c>
      <c r="D113" s="211" t="s">
        <v>470</v>
      </c>
      <c r="E113" s="212" t="s">
        <v>20</v>
      </c>
      <c r="F113" s="211">
        <v>1982</v>
      </c>
      <c r="G113" s="213"/>
      <c r="H113" s="213" t="s">
        <v>38</v>
      </c>
      <c r="I113" s="213"/>
      <c r="J113" s="213" t="s">
        <v>1015</v>
      </c>
      <c r="K113" s="213" t="s">
        <v>1157</v>
      </c>
      <c r="L113" s="213" t="s">
        <v>473</v>
      </c>
      <c r="M113" s="213" t="s">
        <v>474</v>
      </c>
      <c r="N113" s="213"/>
      <c r="O113" s="213" t="s">
        <v>475</v>
      </c>
      <c r="P113" s="213"/>
      <c r="Q113" s="213"/>
      <c r="R113" s="213"/>
      <c r="S113" s="213"/>
      <c r="T113" s="213"/>
      <c r="U113" s="213"/>
      <c r="V113" s="213"/>
      <c r="W113" s="213"/>
      <c r="X113" s="214" t="str">
        <f t="shared" si="6"/>
        <v/>
      </c>
      <c r="Y113" s="227">
        <v>1515</v>
      </c>
      <c r="Z113" s="215" t="str">
        <f t="shared" si="8"/>
        <v/>
      </c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</row>
    <row r="114" spans="1:38" s="217" customFormat="1">
      <c r="A114" s="210">
        <v>130</v>
      </c>
      <c r="B114" s="211" t="s">
        <v>32</v>
      </c>
      <c r="C114" s="211">
        <v>1982</v>
      </c>
      <c r="D114" s="211" t="s">
        <v>470</v>
      </c>
      <c r="E114" s="212" t="s">
        <v>20</v>
      </c>
      <c r="F114" s="211">
        <v>1982</v>
      </c>
      <c r="G114" s="213"/>
      <c r="H114" s="213" t="s">
        <v>38</v>
      </c>
      <c r="I114" s="213"/>
      <c r="J114" s="213" t="s">
        <v>1015</v>
      </c>
      <c r="K114" s="213" t="s">
        <v>1157</v>
      </c>
      <c r="L114" s="213" t="s">
        <v>473</v>
      </c>
      <c r="M114" s="213" t="s">
        <v>474</v>
      </c>
      <c r="N114" s="213"/>
      <c r="O114" s="213" t="s">
        <v>476</v>
      </c>
      <c r="P114" s="213"/>
      <c r="Q114" s="213"/>
      <c r="R114" s="213"/>
      <c r="S114" s="213"/>
      <c r="T114" s="213"/>
      <c r="U114" s="213"/>
      <c r="V114" s="213"/>
      <c r="W114" s="213"/>
      <c r="X114" s="214" t="str">
        <f t="shared" si="6"/>
        <v/>
      </c>
      <c r="Y114" s="227">
        <v>1721</v>
      </c>
      <c r="Z114" s="215" t="str">
        <f t="shared" si="8"/>
        <v/>
      </c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</row>
    <row r="115" spans="1:38" s="217" customFormat="1">
      <c r="A115" s="210">
        <v>130</v>
      </c>
      <c r="B115" s="211" t="s">
        <v>32</v>
      </c>
      <c r="C115" s="211">
        <v>1982</v>
      </c>
      <c r="D115" s="211" t="s">
        <v>470</v>
      </c>
      <c r="E115" s="212" t="s">
        <v>20</v>
      </c>
      <c r="F115" s="211">
        <v>1982</v>
      </c>
      <c r="G115" s="213"/>
      <c r="H115" s="213" t="s">
        <v>38</v>
      </c>
      <c r="I115" s="213"/>
      <c r="J115" s="213" t="s">
        <v>1015</v>
      </c>
      <c r="K115" s="213" t="s">
        <v>1157</v>
      </c>
      <c r="L115" s="213" t="s">
        <v>473</v>
      </c>
      <c r="M115" s="213" t="s">
        <v>474</v>
      </c>
      <c r="N115" s="213"/>
      <c r="O115" s="213" t="s">
        <v>477</v>
      </c>
      <c r="P115" s="213"/>
      <c r="Q115" s="213"/>
      <c r="R115" s="213"/>
      <c r="S115" s="213"/>
      <c r="T115" s="213"/>
      <c r="U115" s="213"/>
      <c r="V115" s="213"/>
      <c r="W115" s="213"/>
      <c r="X115" s="214" t="str">
        <f t="shared" si="6"/>
        <v/>
      </c>
      <c r="Y115" s="227">
        <v>1766</v>
      </c>
      <c r="Z115" s="215" t="str">
        <f t="shared" si="8"/>
        <v/>
      </c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</row>
    <row r="116" spans="1:38" s="217" customFormat="1">
      <c r="A116" s="210">
        <v>130</v>
      </c>
      <c r="B116" s="211" t="s">
        <v>32</v>
      </c>
      <c r="C116" s="211">
        <v>1982</v>
      </c>
      <c r="D116" s="211" t="s">
        <v>470</v>
      </c>
      <c r="E116" s="212" t="s">
        <v>20</v>
      </c>
      <c r="F116" s="211">
        <v>1982</v>
      </c>
      <c r="G116" s="213"/>
      <c r="H116" s="213" t="s">
        <v>38</v>
      </c>
      <c r="I116" s="213"/>
      <c r="J116" s="213" t="s">
        <v>1015</v>
      </c>
      <c r="K116" s="213" t="s">
        <v>1157</v>
      </c>
      <c r="L116" s="213" t="s">
        <v>473</v>
      </c>
      <c r="M116" s="213" t="s">
        <v>474</v>
      </c>
      <c r="N116" s="213"/>
      <c r="O116" s="213" t="s">
        <v>478</v>
      </c>
      <c r="P116" s="213"/>
      <c r="Q116" s="213"/>
      <c r="R116" s="213"/>
      <c r="S116" s="213"/>
      <c r="T116" s="213"/>
      <c r="U116" s="213"/>
      <c r="V116" s="213"/>
      <c r="W116" s="213"/>
      <c r="X116" s="214" t="str">
        <f t="shared" si="6"/>
        <v/>
      </c>
      <c r="Y116" s="227">
        <v>1567</v>
      </c>
      <c r="Z116" s="215" t="str">
        <f t="shared" si="8"/>
        <v/>
      </c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</row>
    <row r="117" spans="1:38" s="217" customFormat="1">
      <c r="A117" s="210">
        <v>130</v>
      </c>
      <c r="B117" s="211" t="s">
        <v>32</v>
      </c>
      <c r="C117" s="211">
        <v>1982</v>
      </c>
      <c r="D117" s="211" t="s">
        <v>470</v>
      </c>
      <c r="E117" s="212" t="s">
        <v>20</v>
      </c>
      <c r="F117" s="211">
        <v>1982</v>
      </c>
      <c r="G117" s="213"/>
      <c r="H117" s="213" t="s">
        <v>38</v>
      </c>
      <c r="I117" s="213"/>
      <c r="J117" s="213" t="s">
        <v>1015</v>
      </c>
      <c r="K117" s="213" t="s">
        <v>1157</v>
      </c>
      <c r="L117" s="213" t="s">
        <v>473</v>
      </c>
      <c r="M117" s="213" t="s">
        <v>474</v>
      </c>
      <c r="N117" s="213"/>
      <c r="O117" s="213" t="s">
        <v>479</v>
      </c>
      <c r="P117" s="213"/>
      <c r="Q117" s="213"/>
      <c r="R117" s="213"/>
      <c r="S117" s="213"/>
      <c r="T117" s="213"/>
      <c r="U117" s="213"/>
      <c r="V117" s="213"/>
      <c r="W117" s="213"/>
      <c r="X117" s="214" t="str">
        <f t="shared" si="6"/>
        <v/>
      </c>
      <c r="Y117" s="227">
        <v>1577</v>
      </c>
      <c r="Z117" s="215" t="str">
        <f t="shared" si="8"/>
        <v/>
      </c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</row>
    <row r="118" spans="1:38" s="217" customFormat="1">
      <c r="A118" s="210">
        <v>130</v>
      </c>
      <c r="B118" s="211" t="s">
        <v>32</v>
      </c>
      <c r="C118" s="211">
        <v>1982</v>
      </c>
      <c r="D118" s="211" t="s">
        <v>470</v>
      </c>
      <c r="E118" s="212" t="s">
        <v>20</v>
      </c>
      <c r="F118" s="211">
        <v>1982</v>
      </c>
      <c r="G118" s="213"/>
      <c r="H118" s="213" t="s">
        <v>38</v>
      </c>
      <c r="I118" s="213"/>
      <c r="J118" s="213" t="s">
        <v>1015</v>
      </c>
      <c r="K118" s="213" t="s">
        <v>1157</v>
      </c>
      <c r="L118" s="213" t="s">
        <v>473</v>
      </c>
      <c r="M118" s="213" t="s">
        <v>474</v>
      </c>
      <c r="N118" s="213"/>
      <c r="O118" s="213" t="s">
        <v>480</v>
      </c>
      <c r="P118" s="213"/>
      <c r="Q118" s="213"/>
      <c r="R118" s="213"/>
      <c r="S118" s="213"/>
      <c r="T118" s="213"/>
      <c r="U118" s="213"/>
      <c r="V118" s="213"/>
      <c r="W118" s="213"/>
      <c r="X118" s="214" t="str">
        <f t="shared" si="6"/>
        <v/>
      </c>
      <c r="Y118" s="227">
        <v>1624</v>
      </c>
      <c r="Z118" s="215" t="str">
        <f t="shared" si="8"/>
        <v/>
      </c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</row>
    <row r="119" spans="1:38" s="217" customFormat="1">
      <c r="A119" s="210">
        <v>130</v>
      </c>
      <c r="B119" s="211" t="s">
        <v>32</v>
      </c>
      <c r="C119" s="211">
        <v>1982</v>
      </c>
      <c r="D119" s="211" t="s">
        <v>470</v>
      </c>
      <c r="E119" s="212" t="s">
        <v>20</v>
      </c>
      <c r="F119" s="211">
        <v>1982</v>
      </c>
      <c r="G119" s="213"/>
      <c r="H119" s="213" t="s">
        <v>38</v>
      </c>
      <c r="I119" s="213"/>
      <c r="J119" s="213" t="s">
        <v>1015</v>
      </c>
      <c r="K119" s="213" t="s">
        <v>1157</v>
      </c>
      <c r="L119" s="213" t="s">
        <v>473</v>
      </c>
      <c r="M119" s="213" t="s">
        <v>474</v>
      </c>
      <c r="N119" s="213"/>
      <c r="O119" s="213" t="s">
        <v>481</v>
      </c>
      <c r="P119" s="213"/>
      <c r="Q119" s="213"/>
      <c r="R119" s="213"/>
      <c r="S119" s="213"/>
      <c r="T119" s="213"/>
      <c r="U119" s="213"/>
      <c r="V119" s="213"/>
      <c r="W119" s="213"/>
      <c r="X119" s="214" t="str">
        <f t="shared" si="6"/>
        <v/>
      </c>
      <c r="Y119" s="227">
        <v>1833</v>
      </c>
      <c r="Z119" s="215" t="str">
        <f t="shared" si="8"/>
        <v/>
      </c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</row>
    <row r="120" spans="1:38" s="217" customFormat="1">
      <c r="A120" s="210">
        <v>130</v>
      </c>
      <c r="B120" s="211" t="s">
        <v>32</v>
      </c>
      <c r="C120" s="211">
        <v>1982</v>
      </c>
      <c r="D120" s="211" t="s">
        <v>470</v>
      </c>
      <c r="E120" s="212" t="s">
        <v>20</v>
      </c>
      <c r="F120" s="211">
        <v>1982</v>
      </c>
      <c r="G120" s="213"/>
      <c r="H120" s="213" t="s">
        <v>38</v>
      </c>
      <c r="I120" s="213"/>
      <c r="J120" s="213" t="s">
        <v>1015</v>
      </c>
      <c r="K120" s="213" t="s">
        <v>1157</v>
      </c>
      <c r="L120" s="213" t="s">
        <v>473</v>
      </c>
      <c r="M120" s="213" t="s">
        <v>474</v>
      </c>
      <c r="N120" s="213"/>
      <c r="O120" s="213" t="s">
        <v>482</v>
      </c>
      <c r="P120" s="213"/>
      <c r="Q120" s="213"/>
      <c r="R120" s="213"/>
      <c r="S120" s="213"/>
      <c r="T120" s="213"/>
      <c r="U120" s="213"/>
      <c r="V120" s="213"/>
      <c r="W120" s="213"/>
      <c r="X120" s="214" t="str">
        <f t="shared" si="6"/>
        <v/>
      </c>
      <c r="Y120" s="227">
        <v>1878</v>
      </c>
      <c r="Z120" s="215" t="str">
        <f t="shared" si="8"/>
        <v/>
      </c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</row>
    <row r="121" spans="1:38" s="217" customFormat="1">
      <c r="A121" s="210">
        <v>130</v>
      </c>
      <c r="B121" s="211" t="s">
        <v>32</v>
      </c>
      <c r="C121" s="211">
        <v>1982</v>
      </c>
      <c r="D121" s="211" t="s">
        <v>470</v>
      </c>
      <c r="E121" s="212" t="s">
        <v>20</v>
      </c>
      <c r="F121" s="211">
        <v>1982</v>
      </c>
      <c r="G121" s="213"/>
      <c r="H121" s="213" t="s">
        <v>38</v>
      </c>
      <c r="I121" s="213"/>
      <c r="J121" s="213" t="s">
        <v>1015</v>
      </c>
      <c r="K121" s="213" t="s">
        <v>1157</v>
      </c>
      <c r="L121" s="213" t="s">
        <v>473</v>
      </c>
      <c r="M121" s="213" t="s">
        <v>474</v>
      </c>
      <c r="N121" s="213"/>
      <c r="O121" s="213" t="s">
        <v>483</v>
      </c>
      <c r="P121" s="213"/>
      <c r="Q121" s="213"/>
      <c r="R121" s="213"/>
      <c r="S121" s="213"/>
      <c r="T121" s="213"/>
      <c r="U121" s="213"/>
      <c r="V121" s="213"/>
      <c r="W121" s="213"/>
      <c r="X121" s="214" t="str">
        <f t="shared" si="6"/>
        <v/>
      </c>
      <c r="Y121" s="227">
        <v>1877</v>
      </c>
      <c r="Z121" s="215" t="str">
        <f t="shared" si="8"/>
        <v/>
      </c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</row>
    <row r="122" spans="1:38" s="107" customFormat="1">
      <c r="A122" s="174"/>
      <c r="B122" s="180" t="s">
        <v>990</v>
      </c>
      <c r="C122" s="181">
        <v>2005</v>
      </c>
      <c r="D122" s="174"/>
      <c r="E122" s="180" t="s">
        <v>49</v>
      </c>
      <c r="F122" s="174"/>
      <c r="G122" s="174"/>
      <c r="H122" s="101" t="s">
        <v>38</v>
      </c>
      <c r="I122" s="101"/>
      <c r="J122" s="179" t="s">
        <v>1015</v>
      </c>
      <c r="K122" s="179" t="s">
        <v>1015</v>
      </c>
      <c r="L122" s="181" t="s">
        <v>991</v>
      </c>
      <c r="M122" s="174"/>
      <c r="N122" s="174"/>
      <c r="O122" s="174"/>
      <c r="P122" s="174"/>
      <c r="Q122" s="174"/>
      <c r="R122" s="174"/>
      <c r="S122" s="174"/>
      <c r="T122" s="174"/>
      <c r="U122" s="174"/>
      <c r="V122" s="174">
        <v>1436.76</v>
      </c>
      <c r="W122" s="174"/>
      <c r="X122" s="101" t="str">
        <f t="shared" si="6"/>
        <v/>
      </c>
      <c r="Y122" s="230">
        <f>+V122</f>
        <v>1436.76</v>
      </c>
      <c r="Z122" s="106" t="s">
        <v>1192</v>
      </c>
      <c r="AA122" s="187"/>
      <c r="AB122" s="188" t="s">
        <v>1206</v>
      </c>
      <c r="AC122" s="188" t="s">
        <v>1207</v>
      </c>
      <c r="AD122" s="188" t="s">
        <v>1208</v>
      </c>
      <c r="AE122" s="188" t="s">
        <v>1209</v>
      </c>
      <c r="AF122" s="188" t="s">
        <v>1210</v>
      </c>
      <c r="AG122" s="188" t="s">
        <v>1211</v>
      </c>
      <c r="AH122" s="174"/>
      <c r="AI122" s="174"/>
      <c r="AJ122" s="174"/>
      <c r="AK122" s="174"/>
      <c r="AL122" s="174"/>
    </row>
    <row r="123" spans="1:38" s="107" customFormat="1">
      <c r="A123" s="97">
        <v>142</v>
      </c>
      <c r="B123" s="108" t="s">
        <v>522</v>
      </c>
      <c r="C123" s="98">
        <v>2007</v>
      </c>
      <c r="D123" s="112" t="s">
        <v>523</v>
      </c>
      <c r="E123" s="99" t="s">
        <v>49</v>
      </c>
      <c r="F123" s="98">
        <v>2007</v>
      </c>
      <c r="G123" s="98" t="s">
        <v>41</v>
      </c>
      <c r="H123" s="98" t="s">
        <v>41</v>
      </c>
      <c r="I123" s="98"/>
      <c r="J123" s="101" t="s">
        <v>1015</v>
      </c>
      <c r="K123" s="98" t="s">
        <v>1019</v>
      </c>
      <c r="L123" s="98"/>
      <c r="M123" s="98" t="s">
        <v>526</v>
      </c>
      <c r="N123" s="98"/>
      <c r="O123" s="98" t="s">
        <v>527</v>
      </c>
      <c r="P123" s="98"/>
      <c r="Q123" s="98"/>
      <c r="R123" s="98"/>
      <c r="S123" s="98"/>
      <c r="T123" s="98"/>
      <c r="U123" s="98"/>
      <c r="V123" s="98"/>
      <c r="W123" s="98"/>
      <c r="X123" s="101" t="str">
        <f t="shared" si="6"/>
        <v/>
      </c>
      <c r="Y123" s="111">
        <v>1730</v>
      </c>
      <c r="Z123" s="106" t="s">
        <v>1192</v>
      </c>
      <c r="AA123" s="307" t="s">
        <v>1355</v>
      </c>
      <c r="AB123" s="307">
        <f>AVERAGE($Y$122:$Y$169)</f>
        <v>1606.0680838958331</v>
      </c>
      <c r="AC123" s="307">
        <f>MEDIAN($Y$122:$Y$169)</f>
        <v>1665.5</v>
      </c>
      <c r="AD123" s="307">
        <f>MAX($Y$122:$Y$169)</f>
        <v>1793</v>
      </c>
      <c r="AE123" s="307">
        <f>MIN($Y$122:$Y$169)</f>
        <v>950</v>
      </c>
      <c r="AF123" s="307">
        <f>STDEV($Y$122:$Y$169)</f>
        <v>176.77827607061357</v>
      </c>
      <c r="AG123" s="307">
        <f>COUNT($Y$122:$Y$169)</f>
        <v>48</v>
      </c>
      <c r="AH123" s="174"/>
      <c r="AI123" s="174"/>
      <c r="AJ123" s="174"/>
      <c r="AK123" s="174"/>
      <c r="AL123" s="174"/>
    </row>
    <row r="124" spans="1:38" s="107" customFormat="1">
      <c r="A124" s="174"/>
      <c r="B124" s="180" t="s">
        <v>1000</v>
      </c>
      <c r="C124" s="181">
        <v>2013</v>
      </c>
      <c r="D124" s="174"/>
      <c r="E124" s="180" t="s">
        <v>49</v>
      </c>
      <c r="F124" s="174"/>
      <c r="G124" s="174"/>
      <c r="H124" s="101" t="s">
        <v>41</v>
      </c>
      <c r="I124" s="98"/>
      <c r="J124" s="101" t="s">
        <v>1015</v>
      </c>
      <c r="K124" s="114" t="s">
        <v>1016</v>
      </c>
      <c r="L124" s="98" t="s">
        <v>1017</v>
      </c>
      <c r="M124" s="101" t="s">
        <v>1001</v>
      </c>
      <c r="N124" s="174"/>
      <c r="O124" s="174"/>
      <c r="P124" s="174"/>
      <c r="Q124" s="174"/>
      <c r="R124" s="174"/>
      <c r="S124" s="174"/>
      <c r="T124" s="174"/>
      <c r="U124" s="174">
        <v>0.99</v>
      </c>
      <c r="V124" s="174"/>
      <c r="W124" s="174"/>
      <c r="X124" s="101">
        <f t="shared" si="6"/>
        <v>0.99</v>
      </c>
      <c r="Y124" s="224">
        <v>1773</v>
      </c>
      <c r="Z124" s="106" t="str">
        <f t="shared" ref="Z124:Z167" si="9">IF(X124&lt;&gt;"",IF(X124&lt;0.9,"S","F"),"")</f>
        <v>F</v>
      </c>
      <c r="AA124" s="190" t="s">
        <v>1356</v>
      </c>
      <c r="AB124" s="190">
        <f>AVERAGE($Y$122:$Y$157)</f>
        <v>1676.7385563055554</v>
      </c>
      <c r="AC124" s="190">
        <f>MEDIAN($Y$122:$Y$157)</f>
        <v>1682.1997590000001</v>
      </c>
      <c r="AD124" s="190">
        <f>MAX($Y$122:$Y$157)</f>
        <v>1793</v>
      </c>
      <c r="AE124" s="190">
        <f>MIN($Y$122:$Y$157)</f>
        <v>1436.76</v>
      </c>
      <c r="AF124" s="190">
        <f>STDEV($Y$122:$Y$157)</f>
        <v>56.954695634431026</v>
      </c>
      <c r="AG124" s="190">
        <f>COUNT($Y$122:$Y$157)</f>
        <v>36</v>
      </c>
      <c r="AH124" s="174"/>
      <c r="AI124" s="174"/>
      <c r="AJ124" s="174"/>
      <c r="AK124" s="174"/>
      <c r="AL124" s="174"/>
    </row>
    <row r="125" spans="1:38" s="107" customFormat="1">
      <c r="A125" s="174"/>
      <c r="B125" s="123" t="s">
        <v>979</v>
      </c>
      <c r="C125" s="98">
        <v>2015</v>
      </c>
      <c r="D125" s="174"/>
      <c r="E125" s="99" t="s">
        <v>981</v>
      </c>
      <c r="F125" s="174"/>
      <c r="G125" s="98" t="s">
        <v>835</v>
      </c>
      <c r="H125" s="101" t="s">
        <v>43</v>
      </c>
      <c r="I125" s="101"/>
      <c r="J125" s="124" t="s">
        <v>1015</v>
      </c>
      <c r="K125" s="101" t="s">
        <v>1081</v>
      </c>
      <c r="L125" s="98" t="s">
        <v>983</v>
      </c>
      <c r="M125" s="174"/>
      <c r="N125" s="174"/>
      <c r="O125" s="174"/>
      <c r="P125" s="174"/>
      <c r="Q125" s="174"/>
      <c r="R125" s="174"/>
      <c r="S125" s="174"/>
      <c r="T125" s="174"/>
      <c r="U125" s="98">
        <v>0.97899999999999998</v>
      </c>
      <c r="V125" s="174"/>
      <c r="W125" s="174"/>
      <c r="X125" s="101">
        <f t="shared" si="6"/>
        <v>0.97899999999999998</v>
      </c>
      <c r="Y125" s="111">
        <v>1793</v>
      </c>
      <c r="Z125" s="106" t="str">
        <f t="shared" si="9"/>
        <v>F</v>
      </c>
      <c r="AA125" s="190" t="s">
        <v>1357</v>
      </c>
      <c r="AB125" s="190">
        <f>AVERAGE($Y$158:$Y$169)</f>
        <v>1394.0566666666666</v>
      </c>
      <c r="AC125" s="190">
        <f>MEDIAN($Y$158:$Y$169)</f>
        <v>1471</v>
      </c>
      <c r="AD125" s="190">
        <f>MAX($Y$158:$Y$169)</f>
        <v>1710</v>
      </c>
      <c r="AE125" s="190">
        <f>MIN($Y$158:$Y$169)</f>
        <v>950</v>
      </c>
      <c r="AF125" s="190">
        <f>STDEV($Y$158:$Y$169)</f>
        <v>240.46555297941705</v>
      </c>
      <c r="AG125" s="190">
        <f>COUNT($Y$158:$Y$169)</f>
        <v>12</v>
      </c>
      <c r="AH125" s="174"/>
      <c r="AI125" s="174"/>
      <c r="AJ125" s="174"/>
      <c r="AK125" s="174"/>
      <c r="AL125" s="174"/>
    </row>
    <row r="126" spans="1:38" s="107" customFormat="1">
      <c r="A126" s="174"/>
      <c r="B126" s="180" t="s">
        <v>1000</v>
      </c>
      <c r="C126" s="181">
        <v>2013</v>
      </c>
      <c r="D126" s="174"/>
      <c r="E126" s="180" t="s">
        <v>49</v>
      </c>
      <c r="F126" s="174"/>
      <c r="G126" s="174"/>
      <c r="H126" s="101" t="s">
        <v>41</v>
      </c>
      <c r="I126" s="98"/>
      <c r="J126" s="101" t="s">
        <v>1015</v>
      </c>
      <c r="K126" s="114" t="s">
        <v>1016</v>
      </c>
      <c r="L126" s="98" t="s">
        <v>1017</v>
      </c>
      <c r="M126" s="101" t="s">
        <v>1001</v>
      </c>
      <c r="N126" s="174"/>
      <c r="O126" s="174"/>
      <c r="P126" s="174"/>
      <c r="Q126" s="174"/>
      <c r="R126" s="174"/>
      <c r="S126" s="174"/>
      <c r="T126" s="174"/>
      <c r="U126" s="174">
        <v>0.97</v>
      </c>
      <c r="V126" s="174"/>
      <c r="W126" s="174"/>
      <c r="X126" s="101">
        <f t="shared" si="6"/>
        <v>0.97</v>
      </c>
      <c r="Y126" s="224">
        <v>1693</v>
      </c>
      <c r="Z126" s="106" t="str">
        <f t="shared" si="9"/>
        <v>F</v>
      </c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</row>
    <row r="127" spans="1:38" s="107" customFormat="1">
      <c r="A127" s="97">
        <v>173</v>
      </c>
      <c r="B127" s="98" t="s">
        <v>585</v>
      </c>
      <c r="C127" s="98">
        <v>2011</v>
      </c>
      <c r="D127" s="108" t="s">
        <v>636</v>
      </c>
      <c r="E127" s="99" t="s">
        <v>638</v>
      </c>
      <c r="F127" s="100" t="s">
        <v>642</v>
      </c>
      <c r="G127" s="98" t="s">
        <v>643</v>
      </c>
      <c r="H127" s="98" t="s">
        <v>41</v>
      </c>
      <c r="I127" s="98"/>
      <c r="J127" s="101" t="s">
        <v>1015</v>
      </c>
      <c r="K127" s="98" t="s">
        <v>1081</v>
      </c>
      <c r="L127" s="98" t="s">
        <v>640</v>
      </c>
      <c r="M127" s="109"/>
      <c r="N127" s="109"/>
      <c r="O127" s="98" t="s">
        <v>646</v>
      </c>
      <c r="P127" s="103"/>
      <c r="Q127" s="103"/>
      <c r="R127" s="98"/>
      <c r="S127" s="98"/>
      <c r="T127" s="98"/>
      <c r="U127" s="104">
        <v>0.95699999999999996</v>
      </c>
      <c r="V127" s="175"/>
      <c r="W127" s="175"/>
      <c r="X127" s="101">
        <f t="shared" si="6"/>
        <v>0.95699999999999996</v>
      </c>
      <c r="Y127" s="221">
        <v>1725</v>
      </c>
      <c r="Z127" s="106" t="str">
        <f t="shared" si="9"/>
        <v>F</v>
      </c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</row>
    <row r="128" spans="1:38" s="107" customFormat="1">
      <c r="A128" s="174"/>
      <c r="B128" s="180" t="s">
        <v>992</v>
      </c>
      <c r="C128" s="181">
        <v>2013</v>
      </c>
      <c r="D128" s="174"/>
      <c r="E128" s="180" t="s">
        <v>172</v>
      </c>
      <c r="F128" s="174"/>
      <c r="G128" s="174"/>
      <c r="H128" s="101" t="s">
        <v>771</v>
      </c>
      <c r="I128" s="101"/>
      <c r="J128" s="101" t="s">
        <v>1015</v>
      </c>
      <c r="K128" s="101" t="s">
        <v>1021</v>
      </c>
      <c r="L128" s="182" t="s">
        <v>999</v>
      </c>
      <c r="M128" s="174"/>
      <c r="N128" s="174"/>
      <c r="O128" s="174"/>
      <c r="P128" s="174"/>
      <c r="Q128" s="174"/>
      <c r="R128" s="174"/>
      <c r="S128" s="174"/>
      <c r="T128" s="174"/>
      <c r="U128" s="174">
        <v>0.95699999999999996</v>
      </c>
      <c r="V128" s="174"/>
      <c r="W128" s="174"/>
      <c r="X128" s="101">
        <f t="shared" si="6"/>
        <v>0.95699999999999996</v>
      </c>
      <c r="Y128" s="224">
        <v>1739</v>
      </c>
      <c r="Z128" s="106" t="str">
        <f t="shared" si="9"/>
        <v>F</v>
      </c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</row>
    <row r="129" spans="1:38" s="107" customFormat="1">
      <c r="A129" s="97">
        <v>173</v>
      </c>
      <c r="B129" s="98" t="s">
        <v>585</v>
      </c>
      <c r="C129" s="98">
        <v>2011</v>
      </c>
      <c r="D129" s="108" t="s">
        <v>636</v>
      </c>
      <c r="E129" s="99" t="s">
        <v>638</v>
      </c>
      <c r="F129" s="100" t="s">
        <v>653</v>
      </c>
      <c r="G129" s="98" t="s">
        <v>643</v>
      </c>
      <c r="H129" s="98" t="s">
        <v>41</v>
      </c>
      <c r="I129" s="98"/>
      <c r="J129" s="98" t="s">
        <v>1015</v>
      </c>
      <c r="K129" s="98" t="s">
        <v>1067</v>
      </c>
      <c r="L129" s="98" t="s">
        <v>654</v>
      </c>
      <c r="M129" s="109"/>
      <c r="N129" s="109"/>
      <c r="O129" s="98" t="s">
        <v>655</v>
      </c>
      <c r="P129" s="103"/>
      <c r="Q129" s="103"/>
      <c r="R129" s="98"/>
      <c r="S129" s="98"/>
      <c r="T129" s="98"/>
      <c r="U129" s="104">
        <v>0.95199999999999996</v>
      </c>
      <c r="V129" s="175"/>
      <c r="W129" s="175"/>
      <c r="X129" s="101">
        <f t="shared" si="6"/>
        <v>0.95199999999999996</v>
      </c>
      <c r="Y129" s="221">
        <v>1733</v>
      </c>
      <c r="Z129" s="106" t="str">
        <f t="shared" si="9"/>
        <v>F</v>
      </c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</row>
    <row r="130" spans="1:38" s="107" customFormat="1">
      <c r="A130" s="97">
        <v>181</v>
      </c>
      <c r="B130" s="98" t="s">
        <v>766</v>
      </c>
      <c r="C130" s="98">
        <v>2009</v>
      </c>
      <c r="D130" s="112" t="s">
        <v>767</v>
      </c>
      <c r="E130" s="112" t="s">
        <v>49</v>
      </c>
      <c r="F130" s="119" t="s">
        <v>799</v>
      </c>
      <c r="G130" s="98" t="s">
        <v>847</v>
      </c>
      <c r="H130" s="108" t="s">
        <v>43</v>
      </c>
      <c r="I130" s="108"/>
      <c r="J130" s="115" t="s">
        <v>1015</v>
      </c>
      <c r="K130" s="115" t="s">
        <v>1021</v>
      </c>
      <c r="L130" s="119" t="s">
        <v>496</v>
      </c>
      <c r="M130" s="119" t="s">
        <v>809</v>
      </c>
      <c r="N130" s="119" t="s">
        <v>848</v>
      </c>
      <c r="O130" s="119" t="s">
        <v>857</v>
      </c>
      <c r="P130" s="119"/>
      <c r="Q130" s="119"/>
      <c r="R130" s="98"/>
      <c r="S130" s="98"/>
      <c r="T130" s="98"/>
      <c r="U130" s="119">
        <v>0.95199999999999996</v>
      </c>
      <c r="V130" s="119"/>
      <c r="W130" s="119"/>
      <c r="X130" s="101">
        <f t="shared" ref="X130:X188" si="10">IF(R130&lt;&gt;0,IF(R130&gt;1,R130/100,R130),IF(U130&lt;&gt;0,IF(U130&gt;1,U130/100,U130),""))</f>
        <v>0.95199999999999996</v>
      </c>
      <c r="Y130" s="223">
        <v>1711.8445830000001</v>
      </c>
      <c r="Z130" s="106" t="str">
        <f t="shared" si="9"/>
        <v>F</v>
      </c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</row>
    <row r="131" spans="1:38" s="107" customFormat="1">
      <c r="A131" s="97">
        <v>173</v>
      </c>
      <c r="B131" s="98" t="s">
        <v>585</v>
      </c>
      <c r="C131" s="98">
        <v>2011</v>
      </c>
      <c r="D131" s="108" t="s">
        <v>636</v>
      </c>
      <c r="E131" s="99" t="s">
        <v>638</v>
      </c>
      <c r="F131" s="100" t="s">
        <v>642</v>
      </c>
      <c r="G131" s="98" t="s">
        <v>643</v>
      </c>
      <c r="H131" s="98" t="s">
        <v>41</v>
      </c>
      <c r="I131" s="98"/>
      <c r="J131" s="101" t="s">
        <v>1015</v>
      </c>
      <c r="K131" s="98" t="s">
        <v>1080</v>
      </c>
      <c r="L131" s="98" t="s">
        <v>644</v>
      </c>
      <c r="M131" s="109"/>
      <c r="N131" s="109"/>
      <c r="O131" s="98" t="s">
        <v>645</v>
      </c>
      <c r="P131" s="103"/>
      <c r="Q131" s="103"/>
      <c r="R131" s="98"/>
      <c r="S131" s="98"/>
      <c r="T131" s="98"/>
      <c r="U131" s="104">
        <v>0.95099999999999996</v>
      </c>
      <c r="V131" s="175"/>
      <c r="W131" s="175"/>
      <c r="X131" s="101">
        <f t="shared" si="10"/>
        <v>0.95099999999999996</v>
      </c>
      <c r="Y131" s="221">
        <v>1714</v>
      </c>
      <c r="Z131" s="106" t="str">
        <f t="shared" si="9"/>
        <v>F</v>
      </c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</row>
    <row r="132" spans="1:38" s="107" customFormat="1">
      <c r="A132" s="97">
        <v>173</v>
      </c>
      <c r="B132" s="98" t="s">
        <v>585</v>
      </c>
      <c r="C132" s="98">
        <v>2011</v>
      </c>
      <c r="D132" s="108" t="s">
        <v>636</v>
      </c>
      <c r="E132" s="99" t="s">
        <v>638</v>
      </c>
      <c r="F132" s="100" t="s">
        <v>650</v>
      </c>
      <c r="G132" s="98" t="s">
        <v>495</v>
      </c>
      <c r="H132" s="98" t="s">
        <v>41</v>
      </c>
      <c r="I132" s="98"/>
      <c r="J132" s="101" t="s">
        <v>1015</v>
      </c>
      <c r="K132" s="98" t="s">
        <v>1077</v>
      </c>
      <c r="L132" s="98" t="s">
        <v>651</v>
      </c>
      <c r="M132" s="109"/>
      <c r="N132" s="109"/>
      <c r="O132" s="98" t="s">
        <v>652</v>
      </c>
      <c r="P132" s="103"/>
      <c r="Q132" s="103"/>
      <c r="R132" s="98"/>
      <c r="S132" s="98"/>
      <c r="T132" s="98"/>
      <c r="U132" s="104">
        <v>0.94499999999999995</v>
      </c>
      <c r="V132" s="175"/>
      <c r="W132" s="175"/>
      <c r="X132" s="101">
        <f t="shared" si="10"/>
        <v>0.94499999999999995</v>
      </c>
      <c r="Y132" s="221">
        <v>1696</v>
      </c>
      <c r="Z132" s="106" t="str">
        <f t="shared" si="9"/>
        <v>F</v>
      </c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</row>
    <row r="133" spans="1:38" s="107" customFormat="1">
      <c r="A133" s="97">
        <v>174</v>
      </c>
      <c r="B133" s="98" t="s">
        <v>697</v>
      </c>
      <c r="C133" s="98">
        <v>2009</v>
      </c>
      <c r="D133" s="108" t="s">
        <v>698</v>
      </c>
      <c r="E133" s="99" t="s">
        <v>20</v>
      </c>
      <c r="F133" s="100" t="s">
        <v>701</v>
      </c>
      <c r="G133" s="98" t="s">
        <v>708</v>
      </c>
      <c r="H133" s="98" t="s">
        <v>708</v>
      </c>
      <c r="I133" s="98"/>
      <c r="J133" s="174" t="s">
        <v>1015</v>
      </c>
      <c r="K133" s="98" t="s">
        <v>1021</v>
      </c>
      <c r="L133" s="98" t="s">
        <v>709</v>
      </c>
      <c r="M133" s="109"/>
      <c r="N133" s="109"/>
      <c r="O133" s="98" t="s">
        <v>709</v>
      </c>
      <c r="P133" s="103"/>
      <c r="Q133" s="103"/>
      <c r="R133" s="98"/>
      <c r="S133" s="98"/>
      <c r="T133" s="98"/>
      <c r="U133" s="104">
        <v>0.94399999999999995</v>
      </c>
      <c r="V133" s="175"/>
      <c r="W133" s="175"/>
      <c r="X133" s="101">
        <f t="shared" si="10"/>
        <v>0.94399999999999995</v>
      </c>
      <c r="Y133" s="221">
        <v>1659</v>
      </c>
      <c r="Z133" s="106" t="str">
        <f t="shared" si="9"/>
        <v>F</v>
      </c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</row>
    <row r="134" spans="1:38" s="107" customFormat="1">
      <c r="A134" s="97">
        <v>173</v>
      </c>
      <c r="B134" s="98" t="s">
        <v>585</v>
      </c>
      <c r="C134" s="98">
        <v>2011</v>
      </c>
      <c r="D134" s="108" t="s">
        <v>636</v>
      </c>
      <c r="E134" s="99" t="s">
        <v>638</v>
      </c>
      <c r="F134" s="100" t="s">
        <v>639</v>
      </c>
      <c r="G134" s="98" t="s">
        <v>495</v>
      </c>
      <c r="H134" s="98" t="s">
        <v>41</v>
      </c>
      <c r="I134" s="98"/>
      <c r="J134" s="101" t="s">
        <v>1015</v>
      </c>
      <c r="K134" s="98" t="s">
        <v>1076</v>
      </c>
      <c r="L134" s="98" t="s">
        <v>640</v>
      </c>
      <c r="M134" s="109"/>
      <c r="N134" s="109"/>
      <c r="O134" s="98" t="s">
        <v>641</v>
      </c>
      <c r="P134" s="103"/>
      <c r="Q134" s="103"/>
      <c r="R134" s="98"/>
      <c r="S134" s="98"/>
      <c r="T134" s="98"/>
      <c r="U134" s="104">
        <v>0.94299999999999995</v>
      </c>
      <c r="V134" s="175"/>
      <c r="W134" s="175"/>
      <c r="X134" s="101">
        <f t="shared" si="10"/>
        <v>0.94299999999999995</v>
      </c>
      <c r="Y134" s="221">
        <v>1691</v>
      </c>
      <c r="Z134" s="106" t="str">
        <f t="shared" si="9"/>
        <v>F</v>
      </c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</row>
    <row r="135" spans="1:38" s="107" customFormat="1">
      <c r="A135" s="97">
        <v>173</v>
      </c>
      <c r="B135" s="98" t="s">
        <v>585</v>
      </c>
      <c r="C135" s="98">
        <v>2011</v>
      </c>
      <c r="D135" s="108" t="s">
        <v>636</v>
      </c>
      <c r="E135" s="99" t="s">
        <v>638</v>
      </c>
      <c r="F135" s="100" t="s">
        <v>647</v>
      </c>
      <c r="G135" s="98" t="s">
        <v>643</v>
      </c>
      <c r="H135" s="98" t="s">
        <v>41</v>
      </c>
      <c r="I135" s="98"/>
      <c r="J135" s="98" t="s">
        <v>1015</v>
      </c>
      <c r="K135" s="98" t="s">
        <v>1081</v>
      </c>
      <c r="L135" s="98" t="s">
        <v>648</v>
      </c>
      <c r="M135" s="109"/>
      <c r="N135" s="109"/>
      <c r="O135" s="98" t="s">
        <v>649</v>
      </c>
      <c r="P135" s="103"/>
      <c r="Q135" s="103"/>
      <c r="R135" s="98"/>
      <c r="S135" s="98"/>
      <c r="T135" s="98"/>
      <c r="U135" s="104">
        <v>0.94199999999999995</v>
      </c>
      <c r="V135" s="175"/>
      <c r="W135" s="175"/>
      <c r="X135" s="101">
        <f t="shared" si="10"/>
        <v>0.94199999999999995</v>
      </c>
      <c r="Y135" s="221">
        <v>1660</v>
      </c>
      <c r="Z135" s="106" t="str">
        <f t="shared" si="9"/>
        <v>F</v>
      </c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</row>
    <row r="136" spans="1:38" s="107" customFormat="1">
      <c r="A136" s="97">
        <v>181</v>
      </c>
      <c r="B136" s="98" t="s">
        <v>766</v>
      </c>
      <c r="C136" s="98">
        <v>2009</v>
      </c>
      <c r="D136" s="112" t="s">
        <v>767</v>
      </c>
      <c r="E136" s="112" t="s">
        <v>49</v>
      </c>
      <c r="F136" s="119" t="s">
        <v>808</v>
      </c>
      <c r="G136" s="98" t="s">
        <v>804</v>
      </c>
      <c r="H136" s="108" t="s">
        <v>38</v>
      </c>
      <c r="I136" s="108"/>
      <c r="J136" s="108" t="s">
        <v>1015</v>
      </c>
      <c r="K136" s="108" t="s">
        <v>1019</v>
      </c>
      <c r="L136" s="119" t="s">
        <v>496</v>
      </c>
      <c r="M136" s="119" t="s">
        <v>533</v>
      </c>
      <c r="N136" s="119"/>
      <c r="O136" s="119" t="s">
        <v>827</v>
      </c>
      <c r="P136" s="119"/>
      <c r="Q136" s="119"/>
      <c r="R136" s="98"/>
      <c r="S136" s="98"/>
      <c r="T136" s="98"/>
      <c r="U136" s="119">
        <v>0.94199999999999995</v>
      </c>
      <c r="V136" s="119"/>
      <c r="W136" s="119"/>
      <c r="X136" s="101">
        <f t="shared" si="10"/>
        <v>0.94199999999999995</v>
      </c>
      <c r="Y136" s="223">
        <v>1687.0585149999999</v>
      </c>
      <c r="Z136" s="106" t="str">
        <f t="shared" si="9"/>
        <v>F</v>
      </c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</row>
    <row r="137" spans="1:38" s="107" customFormat="1">
      <c r="A137" s="97">
        <v>181</v>
      </c>
      <c r="B137" s="98" t="s">
        <v>766</v>
      </c>
      <c r="C137" s="98">
        <v>2009</v>
      </c>
      <c r="D137" s="112" t="s">
        <v>767</v>
      </c>
      <c r="E137" s="113" t="s">
        <v>49</v>
      </c>
      <c r="F137" s="114" t="s">
        <v>808</v>
      </c>
      <c r="G137" s="98" t="s">
        <v>770</v>
      </c>
      <c r="H137" s="115" t="s">
        <v>771</v>
      </c>
      <c r="I137" s="115"/>
      <c r="J137" s="115" t="s">
        <v>1015</v>
      </c>
      <c r="K137" s="115" t="s">
        <v>1021</v>
      </c>
      <c r="L137" s="114" t="s">
        <v>496</v>
      </c>
      <c r="M137" s="114" t="s">
        <v>809</v>
      </c>
      <c r="N137" s="114"/>
      <c r="O137" s="114" t="s">
        <v>810</v>
      </c>
      <c r="P137" s="114"/>
      <c r="Q137" s="114"/>
      <c r="R137" s="98"/>
      <c r="S137" s="98"/>
      <c r="T137" s="98"/>
      <c r="U137" s="114">
        <v>0.94099999999999995</v>
      </c>
      <c r="V137" s="114"/>
      <c r="W137" s="114"/>
      <c r="X137" s="101">
        <f t="shared" si="10"/>
        <v>0.94099999999999995</v>
      </c>
      <c r="Y137" s="222">
        <v>1683.2094569999999</v>
      </c>
      <c r="Z137" s="106" t="str">
        <f t="shared" si="9"/>
        <v>F</v>
      </c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</row>
    <row r="138" spans="1:38" s="107" customFormat="1">
      <c r="A138" s="97">
        <v>181</v>
      </c>
      <c r="B138" s="98" t="s">
        <v>766</v>
      </c>
      <c r="C138" s="98">
        <v>2009</v>
      </c>
      <c r="D138" s="112" t="s">
        <v>767</v>
      </c>
      <c r="E138" s="113" t="s">
        <v>49</v>
      </c>
      <c r="F138" s="114" t="s">
        <v>799</v>
      </c>
      <c r="G138" s="98" t="s">
        <v>847</v>
      </c>
      <c r="H138" s="115" t="s">
        <v>43</v>
      </c>
      <c r="I138" s="115"/>
      <c r="J138" s="115" t="s">
        <v>1015</v>
      </c>
      <c r="K138" s="115" t="s">
        <v>1021</v>
      </c>
      <c r="L138" s="114" t="s">
        <v>496</v>
      </c>
      <c r="M138" s="114" t="s">
        <v>809</v>
      </c>
      <c r="N138" s="114" t="s">
        <v>848</v>
      </c>
      <c r="O138" s="114" t="s">
        <v>849</v>
      </c>
      <c r="P138" s="114"/>
      <c r="Q138" s="114"/>
      <c r="R138" s="98"/>
      <c r="S138" s="98"/>
      <c r="T138" s="98"/>
      <c r="U138" s="114">
        <v>0.94</v>
      </c>
      <c r="V138" s="114"/>
      <c r="W138" s="114"/>
      <c r="X138" s="101">
        <f t="shared" si="10"/>
        <v>0.94</v>
      </c>
      <c r="Y138" s="222">
        <v>1690.3290099999999</v>
      </c>
      <c r="Z138" s="106" t="str">
        <f t="shared" si="9"/>
        <v>F</v>
      </c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</row>
    <row r="139" spans="1:38" s="107" customFormat="1">
      <c r="A139" s="174"/>
      <c r="B139" s="180" t="s">
        <v>992</v>
      </c>
      <c r="C139" s="181">
        <v>2013</v>
      </c>
      <c r="D139" s="174"/>
      <c r="E139" s="180" t="s">
        <v>172</v>
      </c>
      <c r="F139" s="174"/>
      <c r="G139" s="174"/>
      <c r="H139" s="101" t="s">
        <v>771</v>
      </c>
      <c r="I139" s="101"/>
      <c r="J139" s="101" t="s">
        <v>1015</v>
      </c>
      <c r="K139" s="101" t="s">
        <v>1021</v>
      </c>
      <c r="L139" s="182" t="s">
        <v>709</v>
      </c>
      <c r="M139" s="174"/>
      <c r="N139" s="174"/>
      <c r="O139" s="174"/>
      <c r="P139" s="174"/>
      <c r="Q139" s="174"/>
      <c r="R139" s="174"/>
      <c r="S139" s="174"/>
      <c r="T139" s="174"/>
      <c r="U139" s="174">
        <v>0.93799999999999994</v>
      </c>
      <c r="V139" s="174"/>
      <c r="W139" s="174"/>
      <c r="X139" s="101">
        <f t="shared" si="10"/>
        <v>0.93799999999999994</v>
      </c>
      <c r="Y139" s="224">
        <v>1696</v>
      </c>
      <c r="Z139" s="106" t="str">
        <f t="shared" si="9"/>
        <v>F</v>
      </c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</row>
    <row r="140" spans="1:38" s="107" customFormat="1">
      <c r="A140" s="97">
        <v>181</v>
      </c>
      <c r="B140" s="98" t="s">
        <v>766</v>
      </c>
      <c r="C140" s="98">
        <v>2009</v>
      </c>
      <c r="D140" s="112" t="s">
        <v>767</v>
      </c>
      <c r="E140" s="113" t="s">
        <v>49</v>
      </c>
      <c r="F140" s="114" t="s">
        <v>808</v>
      </c>
      <c r="G140" s="98" t="s">
        <v>794</v>
      </c>
      <c r="H140" s="115" t="s">
        <v>41</v>
      </c>
      <c r="I140" s="115"/>
      <c r="J140" s="115" t="s">
        <v>1015</v>
      </c>
      <c r="K140" s="115" t="s">
        <v>1015</v>
      </c>
      <c r="L140" s="114" t="s">
        <v>496</v>
      </c>
      <c r="M140" s="114" t="s">
        <v>497</v>
      </c>
      <c r="N140" s="114" t="s">
        <v>742</v>
      </c>
      <c r="O140" s="114" t="s">
        <v>846</v>
      </c>
      <c r="P140" s="114"/>
      <c r="Q140" s="114"/>
      <c r="R140" s="98"/>
      <c r="S140" s="98"/>
      <c r="T140" s="98"/>
      <c r="U140" s="114">
        <v>0.93600000000000005</v>
      </c>
      <c r="V140" s="114"/>
      <c r="W140" s="114"/>
      <c r="X140" s="101">
        <f t="shared" si="10"/>
        <v>0.93600000000000005</v>
      </c>
      <c r="Y140" s="222">
        <v>1682.3995179999999</v>
      </c>
      <c r="Z140" s="106" t="str">
        <f t="shared" si="9"/>
        <v>F</v>
      </c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</row>
    <row r="141" spans="1:38" s="107" customFormat="1">
      <c r="A141" s="97">
        <v>181</v>
      </c>
      <c r="B141" s="98" t="s">
        <v>766</v>
      </c>
      <c r="C141" s="98">
        <v>2009</v>
      </c>
      <c r="D141" s="112" t="s">
        <v>767</v>
      </c>
      <c r="E141" s="113" t="s">
        <v>49</v>
      </c>
      <c r="F141" s="114" t="s">
        <v>808</v>
      </c>
      <c r="G141" s="98" t="s">
        <v>770</v>
      </c>
      <c r="H141" s="115" t="s">
        <v>771</v>
      </c>
      <c r="I141" s="115"/>
      <c r="J141" s="108" t="s">
        <v>1015</v>
      </c>
      <c r="K141" s="108" t="s">
        <v>1019</v>
      </c>
      <c r="L141" s="114" t="s">
        <v>496</v>
      </c>
      <c r="M141" s="114" t="s">
        <v>533</v>
      </c>
      <c r="N141" s="114"/>
      <c r="O141" s="114" t="s">
        <v>831</v>
      </c>
      <c r="P141" s="114"/>
      <c r="Q141" s="114"/>
      <c r="R141" s="98"/>
      <c r="S141" s="98"/>
      <c r="T141" s="98"/>
      <c r="U141" s="114">
        <v>0.93600000000000005</v>
      </c>
      <c r="V141" s="114"/>
      <c r="W141" s="114"/>
      <c r="X141" s="101">
        <f t="shared" si="10"/>
        <v>0.93600000000000005</v>
      </c>
      <c r="Y141" s="222">
        <v>1679.3109959999999</v>
      </c>
      <c r="Z141" s="106" t="str">
        <f t="shared" si="9"/>
        <v>F</v>
      </c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</row>
    <row r="142" spans="1:38" s="107" customFormat="1">
      <c r="A142" s="174"/>
      <c r="B142" s="180" t="s">
        <v>992</v>
      </c>
      <c r="C142" s="181">
        <v>2013</v>
      </c>
      <c r="D142" s="174"/>
      <c r="E142" s="180" t="s">
        <v>172</v>
      </c>
      <c r="F142" s="174"/>
      <c r="G142" s="174"/>
      <c r="H142" s="101" t="s">
        <v>771</v>
      </c>
      <c r="I142" s="101"/>
      <c r="J142" s="101" t="s">
        <v>1015</v>
      </c>
      <c r="K142" s="101" t="s">
        <v>1021</v>
      </c>
      <c r="L142" s="182" t="s">
        <v>709</v>
      </c>
      <c r="M142" s="174"/>
      <c r="N142" s="174"/>
      <c r="O142" s="174"/>
      <c r="P142" s="174"/>
      <c r="Q142" s="174"/>
      <c r="R142" s="174"/>
      <c r="S142" s="174"/>
      <c r="T142" s="174"/>
      <c r="U142" s="174">
        <v>0.93500000000000005</v>
      </c>
      <c r="V142" s="174"/>
      <c r="W142" s="174"/>
      <c r="X142" s="101">
        <f t="shared" si="10"/>
        <v>0.93500000000000005</v>
      </c>
      <c r="Y142" s="224">
        <v>1679</v>
      </c>
      <c r="Z142" s="106" t="str">
        <f t="shared" si="9"/>
        <v>F</v>
      </c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</row>
    <row r="143" spans="1:38" s="107" customFormat="1">
      <c r="A143" s="97">
        <v>181</v>
      </c>
      <c r="B143" s="98" t="s">
        <v>766</v>
      </c>
      <c r="C143" s="98">
        <v>2009</v>
      </c>
      <c r="D143" s="112" t="s">
        <v>767</v>
      </c>
      <c r="E143" s="113" t="s">
        <v>49</v>
      </c>
      <c r="F143" s="114" t="s">
        <v>799</v>
      </c>
      <c r="G143" s="98" t="s">
        <v>847</v>
      </c>
      <c r="H143" s="115" t="s">
        <v>43</v>
      </c>
      <c r="I143" s="115"/>
      <c r="J143" s="115" t="s">
        <v>1015</v>
      </c>
      <c r="K143" s="115" t="s">
        <v>1021</v>
      </c>
      <c r="L143" s="114" t="s">
        <v>496</v>
      </c>
      <c r="M143" s="114" t="s">
        <v>809</v>
      </c>
      <c r="N143" s="114" t="s">
        <v>848</v>
      </c>
      <c r="O143" s="114" t="s">
        <v>850</v>
      </c>
      <c r="P143" s="114"/>
      <c r="Q143" s="114"/>
      <c r="R143" s="98"/>
      <c r="S143" s="98"/>
      <c r="T143" s="98"/>
      <c r="U143" s="114">
        <v>0.93400000000000005</v>
      </c>
      <c r="V143" s="114"/>
      <c r="W143" s="114"/>
      <c r="X143" s="101">
        <f t="shared" si="10"/>
        <v>0.93400000000000005</v>
      </c>
      <c r="Y143" s="222">
        <v>1680.620891</v>
      </c>
      <c r="Z143" s="106" t="str">
        <f t="shared" si="9"/>
        <v>F</v>
      </c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</row>
    <row r="144" spans="1:38" s="107" customFormat="1">
      <c r="A144" s="174"/>
      <c r="B144" s="180" t="s">
        <v>992</v>
      </c>
      <c r="C144" s="181">
        <v>2013</v>
      </c>
      <c r="D144" s="174"/>
      <c r="E144" s="180" t="s">
        <v>172</v>
      </c>
      <c r="F144" s="174"/>
      <c r="G144" s="174"/>
      <c r="H144" s="101" t="s">
        <v>771</v>
      </c>
      <c r="I144" s="101"/>
      <c r="J144" s="101" t="s">
        <v>1015</v>
      </c>
      <c r="K144" s="101" t="s">
        <v>1021</v>
      </c>
      <c r="L144" s="182" t="s">
        <v>709</v>
      </c>
      <c r="M144" s="174"/>
      <c r="N144" s="174"/>
      <c r="O144" s="174"/>
      <c r="P144" s="174"/>
      <c r="Q144" s="174"/>
      <c r="R144" s="174"/>
      <c r="S144" s="174"/>
      <c r="T144" s="174"/>
      <c r="U144" s="174">
        <v>0.93300000000000005</v>
      </c>
      <c r="V144" s="174"/>
      <c r="W144" s="174"/>
      <c r="X144" s="101">
        <f t="shared" si="10"/>
        <v>0.93300000000000005</v>
      </c>
      <c r="Y144" s="224">
        <v>1686</v>
      </c>
      <c r="Z144" s="106" t="str">
        <f t="shared" si="9"/>
        <v>F</v>
      </c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</row>
    <row r="145" spans="1:38" s="107" customFormat="1">
      <c r="A145" s="97">
        <v>181</v>
      </c>
      <c r="B145" s="98" t="s">
        <v>766</v>
      </c>
      <c r="C145" s="98">
        <v>2009</v>
      </c>
      <c r="D145" s="112" t="s">
        <v>767</v>
      </c>
      <c r="E145" s="113" t="s">
        <v>49</v>
      </c>
      <c r="F145" s="114" t="s">
        <v>769</v>
      </c>
      <c r="G145" s="98" t="s">
        <v>770</v>
      </c>
      <c r="H145" s="115" t="s">
        <v>771</v>
      </c>
      <c r="I145" s="115"/>
      <c r="J145" s="108" t="s">
        <v>1015</v>
      </c>
      <c r="K145" s="108" t="s">
        <v>1019</v>
      </c>
      <c r="L145" s="114" t="s">
        <v>496</v>
      </c>
      <c r="M145" s="114" t="s">
        <v>533</v>
      </c>
      <c r="N145" s="114"/>
      <c r="O145" s="114" t="s">
        <v>772</v>
      </c>
      <c r="P145" s="114"/>
      <c r="Q145" s="114"/>
      <c r="R145" s="98"/>
      <c r="S145" s="98"/>
      <c r="T145" s="98"/>
      <c r="U145" s="114">
        <v>0.93200000000000005</v>
      </c>
      <c r="V145" s="114"/>
      <c r="W145" s="114"/>
      <c r="X145" s="101">
        <f t="shared" si="10"/>
        <v>0.93200000000000005</v>
      </c>
      <c r="Y145" s="222">
        <v>1651.079082</v>
      </c>
      <c r="Z145" s="106" t="str">
        <f t="shared" si="9"/>
        <v>F</v>
      </c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</row>
    <row r="146" spans="1:38" s="107" customFormat="1">
      <c r="A146" s="97">
        <v>173</v>
      </c>
      <c r="B146" s="98" t="s">
        <v>585</v>
      </c>
      <c r="C146" s="98">
        <v>2011</v>
      </c>
      <c r="D146" s="108" t="s">
        <v>636</v>
      </c>
      <c r="E146" s="99" t="s">
        <v>681</v>
      </c>
      <c r="F146" s="100" t="s">
        <v>690</v>
      </c>
      <c r="G146" s="98" t="s">
        <v>643</v>
      </c>
      <c r="H146" s="98" t="s">
        <v>41</v>
      </c>
      <c r="I146" s="98"/>
      <c r="J146" s="98" t="s">
        <v>1015</v>
      </c>
      <c r="K146" s="98" t="s">
        <v>1067</v>
      </c>
      <c r="L146" s="98" t="s">
        <v>39</v>
      </c>
      <c r="M146" s="109"/>
      <c r="N146" s="109"/>
      <c r="O146" s="98" t="s">
        <v>691</v>
      </c>
      <c r="P146" s="103"/>
      <c r="Q146" s="103"/>
      <c r="R146" s="98"/>
      <c r="S146" s="98"/>
      <c r="T146" s="98"/>
      <c r="U146" s="104">
        <v>0.93100000000000005</v>
      </c>
      <c r="V146" s="175"/>
      <c r="W146" s="175"/>
      <c r="X146" s="101">
        <f t="shared" si="10"/>
        <v>0.93100000000000005</v>
      </c>
      <c r="Y146" s="221">
        <v>1686</v>
      </c>
      <c r="Z146" s="106" t="str">
        <f t="shared" si="9"/>
        <v>F</v>
      </c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</row>
    <row r="147" spans="1:38" s="107" customFormat="1">
      <c r="A147" s="97">
        <v>174</v>
      </c>
      <c r="B147" s="98" t="s">
        <v>697</v>
      </c>
      <c r="C147" s="98">
        <v>2009</v>
      </c>
      <c r="D147" s="108" t="s">
        <v>698</v>
      </c>
      <c r="E147" s="99" t="s">
        <v>20</v>
      </c>
      <c r="F147" s="100" t="s">
        <v>701</v>
      </c>
      <c r="G147" s="98"/>
      <c r="H147" s="98"/>
      <c r="I147" s="98"/>
      <c r="J147" s="174" t="s">
        <v>1015</v>
      </c>
      <c r="K147" s="98" t="s">
        <v>1085</v>
      </c>
      <c r="L147" s="98" t="s">
        <v>719</v>
      </c>
      <c r="M147" s="109"/>
      <c r="N147" s="109"/>
      <c r="O147" s="98" t="s">
        <v>720</v>
      </c>
      <c r="P147" s="103"/>
      <c r="Q147" s="103"/>
      <c r="R147" s="98"/>
      <c r="S147" s="98"/>
      <c r="T147" s="98"/>
      <c r="U147" s="104">
        <v>0.93</v>
      </c>
      <c r="V147" s="175"/>
      <c r="W147" s="175"/>
      <c r="X147" s="101">
        <f t="shared" si="10"/>
        <v>0.93</v>
      </c>
      <c r="Y147" s="221">
        <v>1632</v>
      </c>
      <c r="Z147" s="106" t="str">
        <f t="shared" si="9"/>
        <v>F</v>
      </c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</row>
    <row r="148" spans="1:38" s="107" customFormat="1">
      <c r="A148" s="97">
        <v>181</v>
      </c>
      <c r="B148" s="98" t="s">
        <v>766</v>
      </c>
      <c r="C148" s="98">
        <v>2009</v>
      </c>
      <c r="D148" s="112" t="s">
        <v>767</v>
      </c>
      <c r="E148" s="112" t="s">
        <v>49</v>
      </c>
      <c r="F148" s="119" t="s">
        <v>793</v>
      </c>
      <c r="G148" s="98" t="s">
        <v>804</v>
      </c>
      <c r="H148" s="108" t="s">
        <v>38</v>
      </c>
      <c r="I148" s="108"/>
      <c r="J148" s="108" t="s">
        <v>1015</v>
      </c>
      <c r="K148" s="108" t="s">
        <v>1019</v>
      </c>
      <c r="L148" s="119" t="s">
        <v>496</v>
      </c>
      <c r="M148" s="119" t="s">
        <v>533</v>
      </c>
      <c r="N148" s="119"/>
      <c r="O148" s="119" t="s">
        <v>805</v>
      </c>
      <c r="P148" s="119"/>
      <c r="Q148" s="119"/>
      <c r="R148" s="98"/>
      <c r="S148" s="98"/>
      <c r="T148" s="98"/>
      <c r="U148" s="119">
        <v>0.92800000000000005</v>
      </c>
      <c r="V148" s="119"/>
      <c r="W148" s="119"/>
      <c r="X148" s="101">
        <f t="shared" si="10"/>
        <v>0.92800000000000005</v>
      </c>
      <c r="Y148" s="223">
        <v>1656.812334</v>
      </c>
      <c r="Z148" s="106" t="str">
        <f t="shared" si="9"/>
        <v>F</v>
      </c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</row>
    <row r="149" spans="1:38" s="107" customFormat="1">
      <c r="A149" s="97">
        <v>134</v>
      </c>
      <c r="B149" s="98" t="s">
        <v>322</v>
      </c>
      <c r="C149" s="126">
        <v>1999</v>
      </c>
      <c r="D149" s="108" t="s">
        <v>493</v>
      </c>
      <c r="E149" s="99" t="s">
        <v>410</v>
      </c>
      <c r="F149" s="127">
        <v>35546</v>
      </c>
      <c r="G149" s="98" t="s">
        <v>495</v>
      </c>
      <c r="H149" s="98" t="s">
        <v>41</v>
      </c>
      <c r="I149" s="98"/>
      <c r="J149" s="98" t="s">
        <v>1015</v>
      </c>
      <c r="K149" s="98" t="s">
        <v>1015</v>
      </c>
      <c r="L149" s="114" t="s">
        <v>496</v>
      </c>
      <c r="M149" s="98" t="s">
        <v>497</v>
      </c>
      <c r="N149" s="98" t="s">
        <v>499</v>
      </c>
      <c r="O149" s="98"/>
      <c r="P149" s="98"/>
      <c r="Q149" s="98"/>
      <c r="R149" s="98"/>
      <c r="S149" s="98"/>
      <c r="T149" s="98"/>
      <c r="U149" s="98">
        <v>0.92700000000000005</v>
      </c>
      <c r="V149" s="98"/>
      <c r="W149" s="98"/>
      <c r="X149" s="101">
        <f t="shared" si="10"/>
        <v>0.92700000000000005</v>
      </c>
      <c r="Y149" s="111">
        <v>1671</v>
      </c>
      <c r="Z149" s="106" t="str">
        <f t="shared" si="9"/>
        <v>F</v>
      </c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</row>
    <row r="150" spans="1:38" s="107" customFormat="1">
      <c r="A150" s="97">
        <v>134</v>
      </c>
      <c r="B150" s="98" t="s">
        <v>322</v>
      </c>
      <c r="C150" s="126">
        <v>1999</v>
      </c>
      <c r="D150" s="108" t="s">
        <v>493</v>
      </c>
      <c r="E150" s="99" t="s">
        <v>410</v>
      </c>
      <c r="F150" s="127">
        <v>35534</v>
      </c>
      <c r="G150" s="98" t="s">
        <v>495</v>
      </c>
      <c r="H150" s="98" t="s">
        <v>41</v>
      </c>
      <c r="I150" s="98"/>
      <c r="J150" s="98" t="s">
        <v>1015</v>
      </c>
      <c r="K150" s="98" t="s">
        <v>1015</v>
      </c>
      <c r="L150" s="114" t="s">
        <v>496</v>
      </c>
      <c r="M150" s="98" t="s">
        <v>497</v>
      </c>
      <c r="N150" s="98" t="s">
        <v>498</v>
      </c>
      <c r="O150" s="98"/>
      <c r="P150" s="98"/>
      <c r="Q150" s="98"/>
      <c r="R150" s="98"/>
      <c r="S150" s="98"/>
      <c r="T150" s="98"/>
      <c r="U150" s="98">
        <v>0.92500000000000004</v>
      </c>
      <c r="V150" s="98"/>
      <c r="W150" s="98"/>
      <c r="X150" s="101">
        <f t="shared" si="10"/>
        <v>0.92500000000000004</v>
      </c>
      <c r="Y150" s="111">
        <v>1682</v>
      </c>
      <c r="Z150" s="106" t="str">
        <f t="shared" si="9"/>
        <v>F</v>
      </c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</row>
    <row r="151" spans="1:38" s="107" customFormat="1">
      <c r="A151" s="174"/>
      <c r="B151" s="180" t="s">
        <v>992</v>
      </c>
      <c r="C151" s="181">
        <v>2013</v>
      </c>
      <c r="D151" s="174"/>
      <c r="E151" s="180" t="s">
        <v>172</v>
      </c>
      <c r="F151" s="174"/>
      <c r="G151" s="174"/>
      <c r="H151" s="101" t="s">
        <v>771</v>
      </c>
      <c r="I151" s="101"/>
      <c r="J151" s="101" t="s">
        <v>1015</v>
      </c>
      <c r="K151" s="98" t="s">
        <v>1019</v>
      </c>
      <c r="L151" s="182" t="s">
        <v>1020</v>
      </c>
      <c r="M151" s="174"/>
      <c r="N151" s="174"/>
      <c r="O151" s="174"/>
      <c r="P151" s="174"/>
      <c r="Q151" s="174"/>
      <c r="R151" s="174"/>
      <c r="S151" s="174"/>
      <c r="T151" s="174"/>
      <c r="U151" s="174">
        <v>0.91900000000000004</v>
      </c>
      <c r="V151" s="174"/>
      <c r="W151" s="174"/>
      <c r="X151" s="101">
        <f t="shared" si="10"/>
        <v>0.91900000000000004</v>
      </c>
      <c r="Y151" s="224">
        <v>1643</v>
      </c>
      <c r="Z151" s="106" t="str">
        <f t="shared" si="9"/>
        <v>F</v>
      </c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</row>
    <row r="152" spans="1:38" s="107" customFormat="1">
      <c r="A152" s="97">
        <v>181</v>
      </c>
      <c r="B152" s="98" t="s">
        <v>766</v>
      </c>
      <c r="C152" s="98">
        <v>2009</v>
      </c>
      <c r="D152" s="112" t="s">
        <v>767</v>
      </c>
      <c r="E152" s="113" t="s">
        <v>49</v>
      </c>
      <c r="F152" s="114" t="s">
        <v>793</v>
      </c>
      <c r="G152" s="98" t="s">
        <v>770</v>
      </c>
      <c r="H152" s="115" t="s">
        <v>771</v>
      </c>
      <c r="I152" s="115"/>
      <c r="J152" s="115" t="s">
        <v>1015</v>
      </c>
      <c r="K152" s="115" t="s">
        <v>1021</v>
      </c>
      <c r="L152" s="114" t="s">
        <v>496</v>
      </c>
      <c r="M152" s="114" t="s">
        <v>809</v>
      </c>
      <c r="N152" s="114"/>
      <c r="O152" s="114" t="s">
        <v>845</v>
      </c>
      <c r="P152" s="114"/>
      <c r="Q152" s="114"/>
      <c r="R152" s="98"/>
      <c r="S152" s="98"/>
      <c r="T152" s="98"/>
      <c r="U152" s="114">
        <v>0.91800000000000004</v>
      </c>
      <c r="V152" s="114"/>
      <c r="W152" s="114"/>
      <c r="X152" s="101">
        <f t="shared" si="10"/>
        <v>0.91800000000000004</v>
      </c>
      <c r="Y152" s="222">
        <v>1652.5206519999999</v>
      </c>
      <c r="Z152" s="106" t="str">
        <f t="shared" si="9"/>
        <v>F</v>
      </c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</row>
    <row r="153" spans="1:38" s="107" customFormat="1">
      <c r="A153" s="97">
        <v>181</v>
      </c>
      <c r="B153" s="98" t="s">
        <v>766</v>
      </c>
      <c r="C153" s="98">
        <v>2009</v>
      </c>
      <c r="D153" s="112" t="s">
        <v>767</v>
      </c>
      <c r="E153" s="113" t="s">
        <v>49</v>
      </c>
      <c r="F153" s="114" t="s">
        <v>769</v>
      </c>
      <c r="G153" s="98" t="s">
        <v>796</v>
      </c>
      <c r="H153" s="115" t="s">
        <v>771</v>
      </c>
      <c r="I153" s="115"/>
      <c r="J153" s="115" t="s">
        <v>1015</v>
      </c>
      <c r="K153" s="115" t="s">
        <v>1015</v>
      </c>
      <c r="L153" s="114" t="s">
        <v>496</v>
      </c>
      <c r="M153" s="114" t="s">
        <v>797</v>
      </c>
      <c r="N153" s="114" t="s">
        <v>165</v>
      </c>
      <c r="O153" s="114" t="s">
        <v>798</v>
      </c>
      <c r="P153" s="114"/>
      <c r="Q153" s="114"/>
      <c r="R153" s="98"/>
      <c r="S153" s="98"/>
      <c r="T153" s="98"/>
      <c r="U153" s="114">
        <v>0.91500000000000004</v>
      </c>
      <c r="V153" s="114"/>
      <c r="W153" s="114"/>
      <c r="X153" s="101">
        <f t="shared" si="10"/>
        <v>0.91500000000000004</v>
      </c>
      <c r="Y153" s="222">
        <v>1630.3609019999999</v>
      </c>
      <c r="Z153" s="106" t="str">
        <f t="shared" si="9"/>
        <v>F</v>
      </c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</row>
    <row r="154" spans="1:38" s="107" customFormat="1">
      <c r="A154" s="97">
        <v>173</v>
      </c>
      <c r="B154" s="98" t="s">
        <v>585</v>
      </c>
      <c r="C154" s="98">
        <v>2011</v>
      </c>
      <c r="D154" s="108" t="s">
        <v>636</v>
      </c>
      <c r="E154" s="99" t="s">
        <v>681</v>
      </c>
      <c r="F154" s="100" t="s">
        <v>690</v>
      </c>
      <c r="G154" s="98" t="s">
        <v>643</v>
      </c>
      <c r="H154" s="98" t="s">
        <v>41</v>
      </c>
      <c r="I154" s="98"/>
      <c r="J154" s="98" t="s">
        <v>1015</v>
      </c>
      <c r="K154" s="98" t="s">
        <v>1081</v>
      </c>
      <c r="L154" s="98" t="s">
        <v>693</v>
      </c>
      <c r="M154" s="109"/>
      <c r="N154" s="109"/>
      <c r="O154" s="98" t="s">
        <v>694</v>
      </c>
      <c r="P154" s="103"/>
      <c r="Q154" s="103"/>
      <c r="R154" s="98"/>
      <c r="S154" s="98"/>
      <c r="T154" s="98"/>
      <c r="U154" s="104">
        <v>0.91400000000000003</v>
      </c>
      <c r="V154" s="175"/>
      <c r="W154" s="175"/>
      <c r="X154" s="101">
        <f t="shared" si="10"/>
        <v>0.91400000000000003</v>
      </c>
      <c r="Y154" s="221">
        <v>1660</v>
      </c>
      <c r="Z154" s="106" t="str">
        <f t="shared" si="9"/>
        <v>F</v>
      </c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</row>
    <row r="155" spans="1:38" s="107" customFormat="1">
      <c r="A155" s="97">
        <v>181</v>
      </c>
      <c r="B155" s="98" t="s">
        <v>766</v>
      </c>
      <c r="C155" s="98">
        <v>2009</v>
      </c>
      <c r="D155" s="112" t="s">
        <v>767</v>
      </c>
      <c r="E155" s="113" t="s">
        <v>49</v>
      </c>
      <c r="F155" s="114" t="s">
        <v>808</v>
      </c>
      <c r="G155" s="98" t="s">
        <v>794</v>
      </c>
      <c r="H155" s="115" t="s">
        <v>41</v>
      </c>
      <c r="I155" s="115"/>
      <c r="J155" s="115" t="s">
        <v>1015</v>
      </c>
      <c r="K155" s="115" t="s">
        <v>1015</v>
      </c>
      <c r="L155" s="114" t="s">
        <v>496</v>
      </c>
      <c r="M155" s="114" t="s">
        <v>497</v>
      </c>
      <c r="N155" s="114" t="s">
        <v>851</v>
      </c>
      <c r="O155" s="114" t="s">
        <v>852</v>
      </c>
      <c r="P155" s="114"/>
      <c r="Q155" s="114"/>
      <c r="R155" s="98"/>
      <c r="S155" s="98"/>
      <c r="T155" s="98"/>
      <c r="U155" s="114">
        <v>0.90400000000000003</v>
      </c>
      <c r="V155" s="114"/>
      <c r="W155" s="114"/>
      <c r="X155" s="101">
        <f t="shared" si="10"/>
        <v>0.90400000000000003</v>
      </c>
      <c r="Y155" s="222">
        <v>1621.282087</v>
      </c>
      <c r="Z155" s="106" t="str">
        <f t="shared" si="9"/>
        <v>F</v>
      </c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</row>
    <row r="156" spans="1:38" s="107" customFormat="1">
      <c r="A156" s="174"/>
      <c r="B156" s="180" t="s">
        <v>992</v>
      </c>
      <c r="C156" s="181">
        <v>2013</v>
      </c>
      <c r="D156" s="174"/>
      <c r="E156" s="180" t="s">
        <v>172</v>
      </c>
      <c r="F156" s="174"/>
      <c r="G156" s="174"/>
      <c r="H156" s="101" t="s">
        <v>771</v>
      </c>
      <c r="I156" s="101"/>
      <c r="J156" s="101" t="s">
        <v>1015</v>
      </c>
      <c r="K156" s="101" t="s">
        <v>1021</v>
      </c>
      <c r="L156" s="182" t="s">
        <v>709</v>
      </c>
      <c r="M156" s="174"/>
      <c r="N156" s="174"/>
      <c r="O156" s="174"/>
      <c r="P156" s="174"/>
      <c r="Q156" s="174"/>
      <c r="R156" s="174"/>
      <c r="S156" s="174"/>
      <c r="T156" s="174"/>
      <c r="U156" s="174">
        <v>0.90400000000000003</v>
      </c>
      <c r="V156" s="174"/>
      <c r="W156" s="174"/>
      <c r="X156" s="101">
        <f t="shared" si="10"/>
        <v>0.90400000000000003</v>
      </c>
      <c r="Y156" s="224">
        <v>1606</v>
      </c>
      <c r="Z156" s="106" t="str">
        <f t="shared" si="9"/>
        <v>F</v>
      </c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</row>
    <row r="157" spans="1:38" s="107" customFormat="1">
      <c r="A157" s="174"/>
      <c r="B157" s="123" t="s">
        <v>979</v>
      </c>
      <c r="C157" s="98">
        <v>2015</v>
      </c>
      <c r="D157" s="174"/>
      <c r="E157" s="99" t="s">
        <v>980</v>
      </c>
      <c r="F157" s="174"/>
      <c r="G157" s="98" t="s">
        <v>835</v>
      </c>
      <c r="H157" s="101" t="s">
        <v>43</v>
      </c>
      <c r="I157" s="101"/>
      <c r="J157" s="124" t="s">
        <v>1167</v>
      </c>
      <c r="K157" s="101" t="s">
        <v>1081</v>
      </c>
      <c r="L157" s="98" t="s">
        <v>983</v>
      </c>
      <c r="M157" s="174"/>
      <c r="N157" s="174"/>
      <c r="O157" s="174"/>
      <c r="P157" s="174"/>
      <c r="Q157" s="174"/>
      <c r="R157" s="174"/>
      <c r="S157" s="174"/>
      <c r="T157" s="174"/>
      <c r="U157" s="98">
        <v>0.90100000000000002</v>
      </c>
      <c r="V157" s="174"/>
      <c r="W157" s="174"/>
      <c r="X157" s="101">
        <f t="shared" si="10"/>
        <v>0.90100000000000002</v>
      </c>
      <c r="Y157" s="111">
        <v>1652</v>
      </c>
      <c r="Z157" s="106" t="str">
        <f t="shared" si="9"/>
        <v>F</v>
      </c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</row>
    <row r="158" spans="1:38" s="107" customFormat="1">
      <c r="A158" s="174"/>
      <c r="B158" s="123" t="s">
        <v>979</v>
      </c>
      <c r="C158" s="98">
        <v>2015</v>
      </c>
      <c r="D158" s="174"/>
      <c r="E158" s="99" t="s">
        <v>49</v>
      </c>
      <c r="F158" s="174"/>
      <c r="G158" s="98" t="s">
        <v>835</v>
      </c>
      <c r="H158" s="101" t="s">
        <v>43</v>
      </c>
      <c r="I158" s="101"/>
      <c r="J158" s="124" t="s">
        <v>1015</v>
      </c>
      <c r="K158" s="101" t="s">
        <v>1081</v>
      </c>
      <c r="L158" s="98" t="s">
        <v>983</v>
      </c>
      <c r="M158" s="174"/>
      <c r="N158" s="174"/>
      <c r="O158" s="174"/>
      <c r="P158" s="174"/>
      <c r="Q158" s="174"/>
      <c r="R158" s="174"/>
      <c r="S158" s="174"/>
      <c r="T158" s="174"/>
      <c r="U158" s="98">
        <v>0.89600000000000002</v>
      </c>
      <c r="V158" s="174"/>
      <c r="W158" s="174"/>
      <c r="X158" s="101">
        <f t="shared" si="10"/>
        <v>0.89600000000000002</v>
      </c>
      <c r="Y158" s="111">
        <v>1656</v>
      </c>
      <c r="Z158" s="106" t="str">
        <f t="shared" si="9"/>
        <v>S</v>
      </c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</row>
    <row r="159" spans="1:38" s="107" customFormat="1">
      <c r="A159" s="97">
        <v>172</v>
      </c>
      <c r="B159" s="98" t="s">
        <v>585</v>
      </c>
      <c r="C159" s="98">
        <v>2010</v>
      </c>
      <c r="D159" s="98" t="s">
        <v>586</v>
      </c>
      <c r="E159" s="99" t="s">
        <v>589</v>
      </c>
      <c r="F159" s="100">
        <v>40227</v>
      </c>
      <c r="G159" s="98" t="s">
        <v>616</v>
      </c>
      <c r="H159" s="98" t="s">
        <v>38</v>
      </c>
      <c r="I159" s="98"/>
      <c r="J159" s="101" t="s">
        <v>1015</v>
      </c>
      <c r="K159" s="101" t="s">
        <v>1067</v>
      </c>
      <c r="L159" s="98" t="s">
        <v>617</v>
      </c>
      <c r="M159" s="102"/>
      <c r="N159" s="102"/>
      <c r="O159" s="98"/>
      <c r="P159" s="103"/>
      <c r="Q159" s="103"/>
      <c r="R159" s="98"/>
      <c r="S159" s="98"/>
      <c r="T159" s="98"/>
      <c r="U159" s="103">
        <v>0.89400000000000002</v>
      </c>
      <c r="V159" s="103"/>
      <c r="W159" s="103"/>
      <c r="X159" s="101">
        <f t="shared" si="10"/>
        <v>0.89400000000000002</v>
      </c>
      <c r="Y159" s="125">
        <v>1710</v>
      </c>
      <c r="Z159" s="106" t="str">
        <f t="shared" si="9"/>
        <v>S</v>
      </c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</row>
    <row r="160" spans="1:38" s="107" customFormat="1">
      <c r="A160" s="97">
        <v>173</v>
      </c>
      <c r="B160" s="98" t="s">
        <v>585</v>
      </c>
      <c r="C160" s="98">
        <v>2011</v>
      </c>
      <c r="D160" s="108" t="s">
        <v>636</v>
      </c>
      <c r="E160" s="99" t="s">
        <v>681</v>
      </c>
      <c r="F160" s="100" t="s">
        <v>690</v>
      </c>
      <c r="G160" s="98" t="s">
        <v>643</v>
      </c>
      <c r="H160" s="98" t="s">
        <v>41</v>
      </c>
      <c r="I160" s="98"/>
      <c r="J160" s="98" t="s">
        <v>1015</v>
      </c>
      <c r="K160" s="98" t="s">
        <v>1067</v>
      </c>
      <c r="L160" s="98" t="s">
        <v>39</v>
      </c>
      <c r="M160" s="109"/>
      <c r="N160" s="109"/>
      <c r="O160" s="98" t="s">
        <v>692</v>
      </c>
      <c r="P160" s="103"/>
      <c r="Q160" s="103"/>
      <c r="R160" s="98"/>
      <c r="S160" s="98"/>
      <c r="T160" s="98"/>
      <c r="U160" s="104">
        <v>0.86399999999999999</v>
      </c>
      <c r="V160" s="175"/>
      <c r="W160" s="175"/>
      <c r="X160" s="101">
        <f t="shared" si="10"/>
        <v>0.86399999999999999</v>
      </c>
      <c r="Y160" s="221">
        <v>1567</v>
      </c>
      <c r="Z160" s="106" t="str">
        <f t="shared" si="9"/>
        <v>S</v>
      </c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</row>
    <row r="161" spans="1:38" s="107" customFormat="1">
      <c r="A161" s="174"/>
      <c r="B161" s="180" t="s">
        <v>992</v>
      </c>
      <c r="C161" s="181">
        <v>2013</v>
      </c>
      <c r="D161" s="174"/>
      <c r="E161" s="180" t="s">
        <v>49</v>
      </c>
      <c r="F161" s="174"/>
      <c r="G161" s="174"/>
      <c r="H161" s="101" t="s">
        <v>771</v>
      </c>
      <c r="I161" s="101"/>
      <c r="J161" s="179" t="s">
        <v>1015</v>
      </c>
      <c r="K161" s="101" t="s">
        <v>1021</v>
      </c>
      <c r="L161" s="181" t="s">
        <v>994</v>
      </c>
      <c r="M161" s="174"/>
      <c r="N161" s="174"/>
      <c r="O161" s="174"/>
      <c r="P161" s="174"/>
      <c r="Q161" s="174"/>
      <c r="R161" s="174"/>
      <c r="S161" s="174"/>
      <c r="T161" s="174"/>
      <c r="U161" s="174">
        <v>0.85799999999999998</v>
      </c>
      <c r="V161" s="174"/>
      <c r="W161" s="174"/>
      <c r="X161" s="101">
        <f t="shared" si="10"/>
        <v>0.85799999999999998</v>
      </c>
      <c r="Y161" s="224">
        <v>1496</v>
      </c>
      <c r="Z161" s="106" t="str">
        <f t="shared" si="9"/>
        <v>S</v>
      </c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</row>
    <row r="162" spans="1:38" s="107" customFormat="1">
      <c r="A162" s="97">
        <v>173</v>
      </c>
      <c r="B162" s="98" t="s">
        <v>585</v>
      </c>
      <c r="C162" s="98">
        <v>2011</v>
      </c>
      <c r="D162" s="108" t="s">
        <v>636</v>
      </c>
      <c r="E162" s="99" t="s">
        <v>681</v>
      </c>
      <c r="F162" s="100" t="s">
        <v>690</v>
      </c>
      <c r="G162" s="98" t="s">
        <v>643</v>
      </c>
      <c r="H162" s="98" t="s">
        <v>41</v>
      </c>
      <c r="I162" s="98"/>
      <c r="J162" s="98" t="s">
        <v>1015</v>
      </c>
      <c r="K162" s="98" t="s">
        <v>1081</v>
      </c>
      <c r="L162" s="98" t="s">
        <v>693</v>
      </c>
      <c r="M162" s="109"/>
      <c r="N162" s="109"/>
      <c r="O162" s="98" t="s">
        <v>695</v>
      </c>
      <c r="P162" s="103"/>
      <c r="Q162" s="103"/>
      <c r="R162" s="98"/>
      <c r="S162" s="98"/>
      <c r="T162" s="98"/>
      <c r="U162" s="104">
        <v>0.84899999999999998</v>
      </c>
      <c r="V162" s="175"/>
      <c r="W162" s="175"/>
      <c r="X162" s="101">
        <f t="shared" si="10"/>
        <v>0.84899999999999998</v>
      </c>
      <c r="Y162" s="221">
        <v>1544</v>
      </c>
      <c r="Z162" s="106" t="str">
        <f t="shared" si="9"/>
        <v>S</v>
      </c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</row>
    <row r="163" spans="1:38" s="107" customFormat="1">
      <c r="A163" s="174"/>
      <c r="B163" s="180" t="s">
        <v>992</v>
      </c>
      <c r="C163" s="181">
        <v>2013</v>
      </c>
      <c r="D163" s="174"/>
      <c r="E163" s="180" t="s">
        <v>49</v>
      </c>
      <c r="F163" s="174"/>
      <c r="G163" s="174"/>
      <c r="H163" s="101" t="s">
        <v>771</v>
      </c>
      <c r="I163" s="101"/>
      <c r="J163" s="179" t="s">
        <v>1015</v>
      </c>
      <c r="K163" s="101" t="s">
        <v>1021</v>
      </c>
      <c r="L163" s="181" t="s">
        <v>993</v>
      </c>
      <c r="M163" s="174"/>
      <c r="N163" s="174"/>
      <c r="O163" s="174"/>
      <c r="P163" s="174"/>
      <c r="Q163" s="174"/>
      <c r="R163" s="174"/>
      <c r="S163" s="174"/>
      <c r="T163" s="174"/>
      <c r="U163" s="174">
        <v>0.82599999999999996</v>
      </c>
      <c r="V163" s="174"/>
      <c r="W163" s="174"/>
      <c r="X163" s="101">
        <f t="shared" si="10"/>
        <v>0.82599999999999996</v>
      </c>
      <c r="Y163" s="224">
        <v>1554</v>
      </c>
      <c r="Z163" s="106" t="str">
        <f t="shared" si="9"/>
        <v>S</v>
      </c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</row>
    <row r="164" spans="1:38" s="107" customFormat="1">
      <c r="A164" s="174"/>
      <c r="B164" s="180" t="s">
        <v>1000</v>
      </c>
      <c r="C164" s="181">
        <v>2013</v>
      </c>
      <c r="D164" s="174"/>
      <c r="E164" s="180" t="s">
        <v>49</v>
      </c>
      <c r="F164" s="174"/>
      <c r="G164" s="174"/>
      <c r="H164" s="101" t="s">
        <v>41</v>
      </c>
      <c r="I164" s="98"/>
      <c r="J164" s="101" t="s">
        <v>1015</v>
      </c>
      <c r="K164" s="114" t="s">
        <v>1016</v>
      </c>
      <c r="L164" s="98" t="s">
        <v>1017</v>
      </c>
      <c r="M164" s="101" t="s">
        <v>1001</v>
      </c>
      <c r="N164" s="174"/>
      <c r="O164" s="174"/>
      <c r="P164" s="174"/>
      <c r="Q164" s="174"/>
      <c r="R164" s="174"/>
      <c r="S164" s="174"/>
      <c r="T164" s="174"/>
      <c r="U164" s="174">
        <v>0.82</v>
      </c>
      <c r="V164" s="174"/>
      <c r="W164" s="174"/>
      <c r="X164" s="101">
        <f t="shared" si="10"/>
        <v>0.82</v>
      </c>
      <c r="Y164" s="224">
        <v>1185</v>
      </c>
      <c r="Z164" s="106" t="str">
        <f t="shared" si="9"/>
        <v>S</v>
      </c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</row>
    <row r="165" spans="1:38" s="107" customFormat="1">
      <c r="A165" s="97">
        <v>173</v>
      </c>
      <c r="B165" s="98" t="s">
        <v>585</v>
      </c>
      <c r="C165" s="98">
        <v>2011</v>
      </c>
      <c r="D165" s="108" t="s">
        <v>636</v>
      </c>
      <c r="E165" s="99" t="s">
        <v>681</v>
      </c>
      <c r="F165" s="100" t="s">
        <v>690</v>
      </c>
      <c r="G165" s="98" t="s">
        <v>643</v>
      </c>
      <c r="H165" s="98" t="s">
        <v>41</v>
      </c>
      <c r="I165" s="98"/>
      <c r="J165" s="98" t="s">
        <v>1015</v>
      </c>
      <c r="K165" s="98" t="s">
        <v>1081</v>
      </c>
      <c r="L165" s="98" t="s">
        <v>693</v>
      </c>
      <c r="M165" s="109"/>
      <c r="N165" s="109"/>
      <c r="O165" s="98" t="s">
        <v>696</v>
      </c>
      <c r="P165" s="103"/>
      <c r="Q165" s="103"/>
      <c r="R165" s="98"/>
      <c r="S165" s="98"/>
      <c r="T165" s="98"/>
      <c r="U165" s="104">
        <v>0.79400000000000004</v>
      </c>
      <c r="V165" s="175"/>
      <c r="W165" s="175"/>
      <c r="X165" s="101">
        <f t="shared" si="10"/>
        <v>0.79400000000000004</v>
      </c>
      <c r="Y165" s="221">
        <v>1446</v>
      </c>
      <c r="Z165" s="106" t="str">
        <f t="shared" si="9"/>
        <v>S</v>
      </c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</row>
    <row r="166" spans="1:38" s="107" customFormat="1">
      <c r="A166" s="174"/>
      <c r="B166" s="180" t="s">
        <v>992</v>
      </c>
      <c r="C166" s="181">
        <v>2013</v>
      </c>
      <c r="D166" s="174"/>
      <c r="E166" s="180" t="s">
        <v>49</v>
      </c>
      <c r="F166" s="174"/>
      <c r="G166" s="174"/>
      <c r="H166" s="101" t="s">
        <v>771</v>
      </c>
      <c r="I166" s="101"/>
      <c r="J166" s="179" t="s">
        <v>1015</v>
      </c>
      <c r="K166" s="101" t="s">
        <v>1021</v>
      </c>
      <c r="L166" s="181" t="s">
        <v>995</v>
      </c>
      <c r="M166" s="174"/>
      <c r="N166" s="174"/>
      <c r="O166" s="174"/>
      <c r="P166" s="174"/>
      <c r="Q166" s="174"/>
      <c r="R166" s="174"/>
      <c r="S166" s="174"/>
      <c r="T166" s="174"/>
      <c r="U166" s="174">
        <v>0.78900000000000003</v>
      </c>
      <c r="V166" s="174"/>
      <c r="W166" s="174"/>
      <c r="X166" s="101">
        <f t="shared" si="10"/>
        <v>0.78900000000000003</v>
      </c>
      <c r="Y166" s="224">
        <v>1305</v>
      </c>
      <c r="Z166" s="106" t="str">
        <f t="shared" si="9"/>
        <v>S</v>
      </c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</row>
    <row r="167" spans="1:38" s="107" customFormat="1">
      <c r="A167" s="174"/>
      <c r="B167" s="180" t="s">
        <v>1000</v>
      </c>
      <c r="C167" s="181">
        <v>2013</v>
      </c>
      <c r="D167" s="174"/>
      <c r="E167" s="180" t="s">
        <v>49</v>
      </c>
      <c r="F167" s="174"/>
      <c r="G167" s="174"/>
      <c r="H167" s="101" t="s">
        <v>41</v>
      </c>
      <c r="I167" s="98"/>
      <c r="J167" s="101" t="s">
        <v>1015</v>
      </c>
      <c r="K167" s="114" t="s">
        <v>1016</v>
      </c>
      <c r="L167" s="98" t="s">
        <v>1017</v>
      </c>
      <c r="M167" s="101" t="s">
        <v>1001</v>
      </c>
      <c r="N167" s="174"/>
      <c r="O167" s="174"/>
      <c r="P167" s="174"/>
      <c r="Q167" s="174"/>
      <c r="R167" s="174"/>
      <c r="S167" s="174"/>
      <c r="T167" s="174"/>
      <c r="U167" s="174">
        <v>0.76</v>
      </c>
      <c r="V167" s="174"/>
      <c r="W167" s="174"/>
      <c r="X167" s="101">
        <f t="shared" si="10"/>
        <v>0.76</v>
      </c>
      <c r="Y167" s="224">
        <v>1068</v>
      </c>
      <c r="Z167" s="106" t="str">
        <f t="shared" si="9"/>
        <v>S</v>
      </c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</row>
    <row r="168" spans="1:38" s="107" customFormat="1">
      <c r="A168" s="97">
        <v>142</v>
      </c>
      <c r="B168" s="108" t="s">
        <v>522</v>
      </c>
      <c r="C168" s="98">
        <v>2007</v>
      </c>
      <c r="D168" s="112" t="s">
        <v>523</v>
      </c>
      <c r="E168" s="99" t="s">
        <v>49</v>
      </c>
      <c r="F168" s="98">
        <v>2007</v>
      </c>
      <c r="G168" s="98" t="s">
        <v>41</v>
      </c>
      <c r="H168" s="98" t="s">
        <v>41</v>
      </c>
      <c r="I168" s="98"/>
      <c r="J168" s="101" t="s">
        <v>1015</v>
      </c>
      <c r="K168" s="98" t="s">
        <v>1019</v>
      </c>
      <c r="L168" s="98"/>
      <c r="M168" s="98" t="s">
        <v>526</v>
      </c>
      <c r="N168" s="98"/>
      <c r="O168" s="98" t="s">
        <v>528</v>
      </c>
      <c r="P168" s="98"/>
      <c r="Q168" s="98"/>
      <c r="R168" s="98"/>
      <c r="S168" s="98"/>
      <c r="T168" s="98"/>
      <c r="U168" s="98"/>
      <c r="V168" s="98"/>
      <c r="W168" s="98"/>
      <c r="X168" s="101" t="str">
        <f t="shared" si="10"/>
        <v/>
      </c>
      <c r="Y168" s="111">
        <v>950</v>
      </c>
      <c r="Z168" s="106" t="s">
        <v>1193</v>
      </c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</row>
    <row r="169" spans="1:38" s="107" customFormat="1">
      <c r="A169" s="174"/>
      <c r="B169" s="180" t="s">
        <v>990</v>
      </c>
      <c r="C169" s="181">
        <v>2005</v>
      </c>
      <c r="D169" s="174"/>
      <c r="E169" s="180" t="s">
        <v>49</v>
      </c>
      <c r="F169" s="174"/>
      <c r="G169" s="174"/>
      <c r="H169" s="101" t="s">
        <v>38</v>
      </c>
      <c r="I169" s="101"/>
      <c r="J169" s="179" t="s">
        <v>1015</v>
      </c>
      <c r="K169" s="179" t="s">
        <v>1015</v>
      </c>
      <c r="L169" s="181" t="s">
        <v>991</v>
      </c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>
        <v>1247.68</v>
      </c>
      <c r="X169" s="101" t="str">
        <f t="shared" si="10"/>
        <v/>
      </c>
      <c r="Y169" s="230">
        <f>+W169</f>
        <v>1247.68</v>
      </c>
      <c r="Z169" s="106" t="s">
        <v>1193</v>
      </c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</row>
    <row r="170" spans="1:38" s="217" customFormat="1">
      <c r="A170" s="210">
        <v>173</v>
      </c>
      <c r="B170" s="213" t="s">
        <v>585</v>
      </c>
      <c r="C170" s="213">
        <v>2011</v>
      </c>
      <c r="D170" s="231" t="s">
        <v>636</v>
      </c>
      <c r="E170" s="212" t="s">
        <v>681</v>
      </c>
      <c r="F170" s="232" t="s">
        <v>682</v>
      </c>
      <c r="G170" s="213" t="s">
        <v>495</v>
      </c>
      <c r="H170" s="213" t="s">
        <v>41</v>
      </c>
      <c r="I170" s="213"/>
      <c r="J170" s="213" t="s">
        <v>1015</v>
      </c>
      <c r="K170" s="213" t="s">
        <v>1142</v>
      </c>
      <c r="L170" s="213" t="s">
        <v>688</v>
      </c>
      <c r="M170" s="233"/>
      <c r="N170" s="233"/>
      <c r="O170" s="213" t="s">
        <v>689</v>
      </c>
      <c r="P170" s="211"/>
      <c r="Q170" s="211"/>
      <c r="R170" s="213"/>
      <c r="S170" s="213"/>
      <c r="T170" s="213"/>
      <c r="U170" s="234">
        <v>0.85</v>
      </c>
      <c r="V170" s="235"/>
      <c r="W170" s="235"/>
      <c r="X170" s="214">
        <f t="shared" si="10"/>
        <v>0.85</v>
      </c>
      <c r="Y170" s="236">
        <v>1218</v>
      </c>
      <c r="Z170" s="215" t="str">
        <f t="shared" ref="Z170:Z188" si="11">IF(X170&lt;&gt;"",IF(X170&lt;0.9,"S","F"),"")</f>
        <v>S</v>
      </c>
      <c r="AA170" s="239"/>
      <c r="AB170" s="237" t="s">
        <v>1206</v>
      </c>
      <c r="AC170" s="237" t="s">
        <v>1207</v>
      </c>
      <c r="AD170" s="237" t="s">
        <v>1208</v>
      </c>
      <c r="AE170" s="237" t="s">
        <v>1209</v>
      </c>
      <c r="AF170" s="237" t="s">
        <v>1210</v>
      </c>
      <c r="AG170" s="237" t="s">
        <v>1211</v>
      </c>
      <c r="AH170" s="216"/>
      <c r="AI170" s="216"/>
      <c r="AJ170" s="216"/>
      <c r="AK170" s="216"/>
      <c r="AL170" s="216"/>
    </row>
    <row r="171" spans="1:38" s="217" customFormat="1">
      <c r="A171" s="210">
        <v>173</v>
      </c>
      <c r="B171" s="213" t="s">
        <v>585</v>
      </c>
      <c r="C171" s="213">
        <v>2011</v>
      </c>
      <c r="D171" s="231" t="s">
        <v>636</v>
      </c>
      <c r="E171" s="212" t="s">
        <v>681</v>
      </c>
      <c r="F171" s="232" t="s">
        <v>682</v>
      </c>
      <c r="G171" s="213" t="s">
        <v>495</v>
      </c>
      <c r="H171" s="213" t="s">
        <v>41</v>
      </c>
      <c r="I171" s="213"/>
      <c r="J171" s="213" t="s">
        <v>1015</v>
      </c>
      <c r="K171" s="213" t="s">
        <v>1142</v>
      </c>
      <c r="L171" s="213" t="s">
        <v>683</v>
      </c>
      <c r="M171" s="233"/>
      <c r="N171" s="233"/>
      <c r="O171" s="213" t="s">
        <v>686</v>
      </c>
      <c r="P171" s="211"/>
      <c r="Q171" s="211"/>
      <c r="R171" s="213"/>
      <c r="S171" s="213"/>
      <c r="T171" s="213"/>
      <c r="U171" s="234">
        <v>0.82299999999999995</v>
      </c>
      <c r="V171" s="235"/>
      <c r="W171" s="235"/>
      <c r="X171" s="214">
        <f t="shared" si="10"/>
        <v>0.82299999999999995</v>
      </c>
      <c r="Y171" s="236">
        <v>1421</v>
      </c>
      <c r="Z171" s="215" t="str">
        <f t="shared" si="11"/>
        <v>S</v>
      </c>
      <c r="AA171" s="239" t="str">
        <f>+K171</f>
        <v>SE pine - stump</v>
      </c>
      <c r="AB171" s="240">
        <f>AVERAGE($Y$170:$Y$174)</f>
        <v>1359</v>
      </c>
      <c r="AC171" s="240">
        <f>MEDIAN($Y$170:$Y$174)</f>
        <v>1394</v>
      </c>
      <c r="AD171" s="240">
        <f>MAX($Y$170:$Y$174)</f>
        <v>1422</v>
      </c>
      <c r="AE171" s="240">
        <f>MIN($Y$170:$Y$174)</f>
        <v>1218</v>
      </c>
      <c r="AF171" s="240">
        <f>STDEV($Y$170:$Y$174)</f>
        <v>85.556998544829753</v>
      </c>
      <c r="AG171" s="240">
        <f>COUNT($Y$170:$Y$174)</f>
        <v>5</v>
      </c>
      <c r="AH171" s="216"/>
      <c r="AI171" s="216"/>
      <c r="AJ171" s="216"/>
      <c r="AK171" s="216"/>
      <c r="AL171" s="216"/>
    </row>
    <row r="172" spans="1:38" s="217" customFormat="1">
      <c r="A172" s="210">
        <v>173</v>
      </c>
      <c r="B172" s="213" t="s">
        <v>585</v>
      </c>
      <c r="C172" s="213">
        <v>2011</v>
      </c>
      <c r="D172" s="231" t="s">
        <v>636</v>
      </c>
      <c r="E172" s="212" t="s">
        <v>681</v>
      </c>
      <c r="F172" s="232" t="s">
        <v>682</v>
      </c>
      <c r="G172" s="213" t="s">
        <v>495</v>
      </c>
      <c r="H172" s="213" t="s">
        <v>41</v>
      </c>
      <c r="I172" s="213"/>
      <c r="J172" s="213" t="s">
        <v>1015</v>
      </c>
      <c r="K172" s="213" t="s">
        <v>1142</v>
      </c>
      <c r="L172" s="213" t="s">
        <v>683</v>
      </c>
      <c r="M172" s="233"/>
      <c r="N172" s="233"/>
      <c r="O172" s="213" t="s">
        <v>687</v>
      </c>
      <c r="P172" s="211"/>
      <c r="Q172" s="211"/>
      <c r="R172" s="213"/>
      <c r="S172" s="213"/>
      <c r="T172" s="213"/>
      <c r="U172" s="234">
        <v>0.8</v>
      </c>
      <c r="V172" s="235"/>
      <c r="W172" s="235"/>
      <c r="X172" s="214">
        <f t="shared" si="10"/>
        <v>0.8</v>
      </c>
      <c r="Y172" s="236">
        <v>1422</v>
      </c>
      <c r="Z172" s="215" t="str">
        <f t="shared" si="11"/>
        <v>S</v>
      </c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</row>
    <row r="173" spans="1:38" s="217" customFormat="1">
      <c r="A173" s="210">
        <v>173</v>
      </c>
      <c r="B173" s="213" t="s">
        <v>585</v>
      </c>
      <c r="C173" s="213">
        <v>2011</v>
      </c>
      <c r="D173" s="231" t="s">
        <v>636</v>
      </c>
      <c r="E173" s="212" t="s">
        <v>681</v>
      </c>
      <c r="F173" s="232" t="s">
        <v>682</v>
      </c>
      <c r="G173" s="213" t="s">
        <v>495</v>
      </c>
      <c r="H173" s="213" t="s">
        <v>41</v>
      </c>
      <c r="I173" s="213"/>
      <c r="J173" s="213" t="s">
        <v>1015</v>
      </c>
      <c r="K173" s="213" t="s">
        <v>1142</v>
      </c>
      <c r="L173" s="213" t="s">
        <v>683</v>
      </c>
      <c r="M173" s="233"/>
      <c r="N173" s="233"/>
      <c r="O173" s="213" t="s">
        <v>685</v>
      </c>
      <c r="P173" s="211"/>
      <c r="Q173" s="211"/>
      <c r="R173" s="213"/>
      <c r="S173" s="213"/>
      <c r="T173" s="213"/>
      <c r="U173" s="234">
        <v>0.79600000000000004</v>
      </c>
      <c r="V173" s="235"/>
      <c r="W173" s="235"/>
      <c r="X173" s="214">
        <f t="shared" si="10"/>
        <v>0.79600000000000004</v>
      </c>
      <c r="Y173" s="236">
        <v>1394</v>
      </c>
      <c r="Z173" s="215" t="str">
        <f t="shared" si="11"/>
        <v>S</v>
      </c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</row>
    <row r="174" spans="1:38" s="217" customFormat="1">
      <c r="A174" s="210">
        <v>173</v>
      </c>
      <c r="B174" s="213" t="s">
        <v>585</v>
      </c>
      <c r="C174" s="213">
        <v>2011</v>
      </c>
      <c r="D174" s="231" t="s">
        <v>636</v>
      </c>
      <c r="E174" s="212" t="s">
        <v>681</v>
      </c>
      <c r="F174" s="232" t="s">
        <v>682</v>
      </c>
      <c r="G174" s="213" t="s">
        <v>495</v>
      </c>
      <c r="H174" s="213" t="s">
        <v>41</v>
      </c>
      <c r="I174" s="213"/>
      <c r="J174" s="213" t="s">
        <v>1015</v>
      </c>
      <c r="K174" s="213" t="s">
        <v>1142</v>
      </c>
      <c r="L174" s="213" t="s">
        <v>683</v>
      </c>
      <c r="M174" s="233"/>
      <c r="N174" s="233"/>
      <c r="O174" s="213" t="s">
        <v>684</v>
      </c>
      <c r="P174" s="211"/>
      <c r="Q174" s="211"/>
      <c r="R174" s="213"/>
      <c r="S174" s="213"/>
      <c r="T174" s="213"/>
      <c r="U174" s="234">
        <v>0.75900000000000001</v>
      </c>
      <c r="V174" s="235"/>
      <c r="W174" s="235"/>
      <c r="X174" s="214">
        <f t="shared" si="10"/>
        <v>0.75900000000000001</v>
      </c>
      <c r="Y174" s="236">
        <v>1340</v>
      </c>
      <c r="Z174" s="215" t="str">
        <f t="shared" si="11"/>
        <v>S</v>
      </c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</row>
    <row r="175" spans="1:38">
      <c r="A175" s="53">
        <v>203</v>
      </c>
      <c r="B175" s="64" t="s">
        <v>940</v>
      </c>
      <c r="C175" s="96">
        <v>2011</v>
      </c>
      <c r="D175" s="64" t="s">
        <v>941</v>
      </c>
      <c r="E175" s="56" t="s">
        <v>20</v>
      </c>
      <c r="F175" s="54">
        <v>2009</v>
      </c>
      <c r="G175" s="54" t="s">
        <v>326</v>
      </c>
      <c r="H175" s="54"/>
      <c r="I175" s="54"/>
      <c r="J175" s="160" t="s">
        <v>1071</v>
      </c>
      <c r="K175" s="54" t="s">
        <v>1072</v>
      </c>
      <c r="L175" s="54" t="s">
        <v>947</v>
      </c>
      <c r="M175" s="54"/>
      <c r="N175" s="54"/>
      <c r="O175" s="54">
        <v>63</v>
      </c>
      <c r="P175" s="54"/>
      <c r="Q175" s="54"/>
      <c r="R175" s="54"/>
      <c r="S175" s="54"/>
      <c r="T175" s="54"/>
      <c r="U175" s="54">
        <v>0.96</v>
      </c>
      <c r="V175" s="54"/>
      <c r="W175" s="54"/>
      <c r="X175" s="58">
        <f t="shared" si="10"/>
        <v>0.96</v>
      </c>
      <c r="Y175" s="72">
        <v>1903</v>
      </c>
      <c r="Z175" s="63" t="str">
        <f t="shared" si="11"/>
        <v>F</v>
      </c>
      <c r="AA175" s="183"/>
      <c r="AB175" s="184" t="s">
        <v>1206</v>
      </c>
      <c r="AC175" s="184" t="s">
        <v>1207</v>
      </c>
      <c r="AD175" s="184" t="s">
        <v>1208</v>
      </c>
      <c r="AE175" s="184" t="s">
        <v>1209</v>
      </c>
      <c r="AF175" s="184" t="s">
        <v>1210</v>
      </c>
      <c r="AG175" s="184" t="s">
        <v>1211</v>
      </c>
    </row>
    <row r="176" spans="1:38">
      <c r="A176" s="53">
        <v>172</v>
      </c>
      <c r="B176" s="54" t="s">
        <v>585</v>
      </c>
      <c r="C176" s="54">
        <v>2010</v>
      </c>
      <c r="D176" s="54" t="s">
        <v>586</v>
      </c>
      <c r="E176" s="56" t="s">
        <v>589</v>
      </c>
      <c r="F176" s="57">
        <v>40230</v>
      </c>
      <c r="G176" s="54" t="s">
        <v>495</v>
      </c>
      <c r="H176" s="54" t="s">
        <v>41</v>
      </c>
      <c r="I176" s="54"/>
      <c r="J176" s="66" t="s">
        <v>1071</v>
      </c>
      <c r="K176" s="54" t="s">
        <v>1072</v>
      </c>
      <c r="L176" s="54" t="s">
        <v>620</v>
      </c>
      <c r="M176" s="59" t="s">
        <v>621</v>
      </c>
      <c r="N176" s="59" t="s">
        <v>622</v>
      </c>
      <c r="O176" s="54"/>
      <c r="P176" s="60"/>
      <c r="Q176" s="60"/>
      <c r="R176" s="54"/>
      <c r="S176" s="54"/>
      <c r="T176" s="54"/>
      <c r="U176" s="60">
        <v>0.95299999999999996</v>
      </c>
      <c r="V176" s="60"/>
      <c r="W176" s="60"/>
      <c r="X176" s="58">
        <f t="shared" si="10"/>
        <v>0.95299999999999996</v>
      </c>
      <c r="Y176" s="225">
        <v>1874</v>
      </c>
      <c r="Z176" s="63" t="str">
        <f t="shared" si="11"/>
        <v>F</v>
      </c>
      <c r="AA176" s="186" t="s">
        <v>1367</v>
      </c>
      <c r="AB176" s="186">
        <f>AVERAGE($Y$175:$Y$188)</f>
        <v>1702.6022829999999</v>
      </c>
      <c r="AC176" s="186">
        <f>MEDIAN($Y$175:$Y$188)</f>
        <v>1688.8796904999999</v>
      </c>
      <c r="AD176" s="186">
        <f>MAX($Y$175:$Y$188)</f>
        <v>1903</v>
      </c>
      <c r="AE176" s="186">
        <f>MIN($Y$175:$Y$188)</f>
        <v>1096</v>
      </c>
      <c r="AF176" s="186">
        <f>STDEV($Y$175:$Y$188)</f>
        <v>198.30417127127532</v>
      </c>
      <c r="AG176" s="186">
        <f>COUNT($Y$175:$Y$188)</f>
        <v>14</v>
      </c>
    </row>
    <row r="177" spans="1:38">
      <c r="A177" s="53">
        <v>203</v>
      </c>
      <c r="B177" s="64" t="s">
        <v>940</v>
      </c>
      <c r="C177" s="96">
        <v>2011</v>
      </c>
      <c r="D177" s="64" t="s">
        <v>941</v>
      </c>
      <c r="E177" s="56" t="s">
        <v>20</v>
      </c>
      <c r="F177" s="54">
        <v>2009</v>
      </c>
      <c r="G177" s="54" t="s">
        <v>326</v>
      </c>
      <c r="H177" s="54"/>
      <c r="I177" s="54"/>
      <c r="J177" s="160" t="s">
        <v>1071</v>
      </c>
      <c r="K177" s="54" t="s">
        <v>1088</v>
      </c>
      <c r="L177" s="54" t="s">
        <v>721</v>
      </c>
      <c r="M177" s="54"/>
      <c r="N177" s="54"/>
      <c r="O177" s="54">
        <v>47</v>
      </c>
      <c r="P177" s="54"/>
      <c r="Q177" s="54"/>
      <c r="R177" s="54"/>
      <c r="S177" s="54"/>
      <c r="T177" s="54"/>
      <c r="U177" s="54">
        <v>0.95</v>
      </c>
      <c r="V177" s="54"/>
      <c r="W177" s="54"/>
      <c r="X177" s="58">
        <f t="shared" si="10"/>
        <v>0.95</v>
      </c>
      <c r="Y177" s="72">
        <v>1827</v>
      </c>
      <c r="Z177" s="63" t="str">
        <f t="shared" si="11"/>
        <v>F</v>
      </c>
      <c r="AA177" s="186" t="s">
        <v>1368</v>
      </c>
      <c r="AB177" s="186">
        <f>AVERAGE($Y$175:$Y$186)</f>
        <v>1742.9526635</v>
      </c>
      <c r="AC177" s="186">
        <f>MEDIAN($Y$175:$Y$186)</f>
        <v>1688.8796904999999</v>
      </c>
      <c r="AD177" s="186">
        <f>MAX($Y$175:$Y$186)</f>
        <v>1903</v>
      </c>
      <c r="AE177" s="186">
        <f>MIN($Y$175:$Y$186)</f>
        <v>1622</v>
      </c>
      <c r="AF177" s="186">
        <f>STDEV($Y$175:$Y$186)</f>
        <v>99.422746218112792</v>
      </c>
      <c r="AG177" s="186">
        <f>COUNT($Y$175:$Y$186)</f>
        <v>12</v>
      </c>
    </row>
    <row r="178" spans="1:38">
      <c r="A178" s="53">
        <v>174</v>
      </c>
      <c r="B178" s="54" t="s">
        <v>697</v>
      </c>
      <c r="C178" s="54">
        <v>2009</v>
      </c>
      <c r="D178" s="55" t="s">
        <v>698</v>
      </c>
      <c r="E178" s="56" t="s">
        <v>20</v>
      </c>
      <c r="F178" s="57" t="s">
        <v>701</v>
      </c>
      <c r="G178" s="54" t="s">
        <v>708</v>
      </c>
      <c r="H178" s="54" t="s">
        <v>708</v>
      </c>
      <c r="I178" s="54"/>
      <c r="J178" s="160" t="s">
        <v>1071</v>
      </c>
      <c r="K178" s="54" t="s">
        <v>1088</v>
      </c>
      <c r="L178" s="54" t="s">
        <v>721</v>
      </c>
      <c r="M178" s="59"/>
      <c r="N178" s="59"/>
      <c r="O178" s="54" t="s">
        <v>721</v>
      </c>
      <c r="P178" s="60"/>
      <c r="Q178" s="60"/>
      <c r="R178" s="54"/>
      <c r="S178" s="54"/>
      <c r="T178" s="54"/>
      <c r="U178" s="61">
        <v>0.94699999999999995</v>
      </c>
      <c r="V178" s="167"/>
      <c r="W178" s="167"/>
      <c r="X178" s="58">
        <f t="shared" si="10"/>
        <v>0.94699999999999995</v>
      </c>
      <c r="Y178" s="219">
        <v>1868</v>
      </c>
      <c r="Z178" s="63" t="str">
        <f t="shared" si="11"/>
        <v>F</v>
      </c>
      <c r="AA178" s="186" t="s">
        <v>1369</v>
      </c>
      <c r="AB178" s="186">
        <f>AVERAGE($Y$187:$Y$188)</f>
        <v>1460.5</v>
      </c>
      <c r="AC178" s="186">
        <f>MEDIAN($Y$187:$Y$188)</f>
        <v>1460.5</v>
      </c>
      <c r="AD178" s="186">
        <f>MAX($Y$187:$Y$188)</f>
        <v>1825</v>
      </c>
      <c r="AE178" s="186">
        <f>MIN($Y$187:$Y$188)</f>
        <v>1096</v>
      </c>
      <c r="AF178" s="186">
        <f>STDEV($Y$187:$Y$188)</f>
        <v>515.4808434849931</v>
      </c>
      <c r="AG178" s="186">
        <f>COUNT($Y$187:$Y$188)</f>
        <v>2</v>
      </c>
    </row>
    <row r="179" spans="1:38">
      <c r="A179" s="53">
        <v>181</v>
      </c>
      <c r="B179" s="54" t="s">
        <v>766</v>
      </c>
      <c r="C179" s="54">
        <v>2009</v>
      </c>
      <c r="D179" s="83" t="s">
        <v>767</v>
      </c>
      <c r="E179" s="84" t="s">
        <v>49</v>
      </c>
      <c r="F179" s="74" t="s">
        <v>793</v>
      </c>
      <c r="G179" s="54" t="s">
        <v>794</v>
      </c>
      <c r="H179" s="74" t="s">
        <v>41</v>
      </c>
      <c r="I179" s="74"/>
      <c r="J179" s="74" t="s">
        <v>1071</v>
      </c>
      <c r="K179" s="74" t="s">
        <v>1072</v>
      </c>
      <c r="L179" s="91" t="s">
        <v>415</v>
      </c>
      <c r="M179" s="91" t="s">
        <v>620</v>
      </c>
      <c r="N179" s="74"/>
      <c r="O179" s="91" t="s">
        <v>795</v>
      </c>
      <c r="P179" s="74"/>
      <c r="Q179" s="74"/>
      <c r="R179" s="54"/>
      <c r="S179" s="54"/>
      <c r="T179" s="54"/>
      <c r="U179" s="91">
        <v>0.94299999999999995</v>
      </c>
      <c r="V179" s="93"/>
      <c r="W179" s="93"/>
      <c r="X179" s="58">
        <f t="shared" si="10"/>
        <v>0.94299999999999995</v>
      </c>
      <c r="Y179" s="228">
        <v>1682.673587</v>
      </c>
      <c r="Z179" s="63" t="str">
        <f t="shared" si="11"/>
        <v>F</v>
      </c>
    </row>
    <row r="180" spans="1:38">
      <c r="A180" s="53">
        <v>181</v>
      </c>
      <c r="B180" s="54" t="s">
        <v>766</v>
      </c>
      <c r="C180" s="54">
        <v>2009</v>
      </c>
      <c r="D180" s="83" t="s">
        <v>767</v>
      </c>
      <c r="E180" s="84" t="s">
        <v>49</v>
      </c>
      <c r="F180" s="74" t="s">
        <v>834</v>
      </c>
      <c r="G180" s="54" t="s">
        <v>835</v>
      </c>
      <c r="H180" s="74" t="s">
        <v>43</v>
      </c>
      <c r="I180" s="74"/>
      <c r="J180" s="170" t="s">
        <v>1071</v>
      </c>
      <c r="K180" s="74" t="s">
        <v>1095</v>
      </c>
      <c r="L180" s="91" t="s">
        <v>415</v>
      </c>
      <c r="M180" s="91" t="s">
        <v>801</v>
      </c>
      <c r="N180" s="74" t="s">
        <v>866</v>
      </c>
      <c r="O180" s="91" t="s">
        <v>867</v>
      </c>
      <c r="P180" s="74"/>
      <c r="Q180" s="74"/>
      <c r="R180" s="54"/>
      <c r="S180" s="54"/>
      <c r="T180" s="54"/>
      <c r="U180" s="91">
        <v>0.93799999999999994</v>
      </c>
      <c r="V180" s="93"/>
      <c r="W180" s="93"/>
      <c r="X180" s="58">
        <f t="shared" si="10"/>
        <v>0.93799999999999994</v>
      </c>
      <c r="Y180" s="228">
        <v>1695.0857940000001</v>
      </c>
      <c r="Z180" s="63" t="str">
        <f t="shared" si="11"/>
        <v>F</v>
      </c>
    </row>
    <row r="181" spans="1:38">
      <c r="A181" s="53">
        <v>181</v>
      </c>
      <c r="B181" s="54" t="s">
        <v>766</v>
      </c>
      <c r="C181" s="54">
        <v>2009</v>
      </c>
      <c r="D181" s="83" t="s">
        <v>767</v>
      </c>
      <c r="E181" s="84" t="s">
        <v>49</v>
      </c>
      <c r="F181" s="74" t="s">
        <v>793</v>
      </c>
      <c r="G181" s="54" t="s">
        <v>770</v>
      </c>
      <c r="H181" s="74" t="s">
        <v>771</v>
      </c>
      <c r="I181" s="74"/>
      <c r="J181" s="170" t="s">
        <v>1071</v>
      </c>
      <c r="K181" s="74" t="s">
        <v>1072</v>
      </c>
      <c r="L181" s="91" t="s">
        <v>415</v>
      </c>
      <c r="M181" s="91" t="s">
        <v>620</v>
      </c>
      <c r="N181" s="74"/>
      <c r="O181" s="91" t="s">
        <v>865</v>
      </c>
      <c r="P181" s="74"/>
      <c r="Q181" s="74"/>
      <c r="R181" s="54"/>
      <c r="S181" s="54"/>
      <c r="T181" s="54"/>
      <c r="U181" s="91">
        <v>0.93500000000000005</v>
      </c>
      <c r="V181" s="93"/>
      <c r="W181" s="93"/>
      <c r="X181" s="58">
        <f t="shared" si="10"/>
        <v>0.93500000000000005</v>
      </c>
      <c r="Y181" s="228">
        <v>1681.7731160000001</v>
      </c>
      <c r="Z181" s="63" t="str">
        <f t="shared" si="11"/>
        <v>F</v>
      </c>
    </row>
    <row r="182" spans="1:38">
      <c r="A182" s="53">
        <v>174</v>
      </c>
      <c r="B182" s="54" t="s">
        <v>697</v>
      </c>
      <c r="C182" s="54">
        <v>2009</v>
      </c>
      <c r="D182" s="55" t="s">
        <v>698</v>
      </c>
      <c r="E182" s="56" t="s">
        <v>20</v>
      </c>
      <c r="F182" s="57" t="s">
        <v>701</v>
      </c>
      <c r="G182" s="54" t="s">
        <v>43</v>
      </c>
      <c r="H182" s="54" t="s">
        <v>43</v>
      </c>
      <c r="I182" s="54"/>
      <c r="J182" s="160" t="s">
        <v>1071</v>
      </c>
      <c r="K182" s="54" t="s">
        <v>1095</v>
      </c>
      <c r="L182" s="54" t="s">
        <v>736</v>
      </c>
      <c r="M182" s="59"/>
      <c r="N182" s="59"/>
      <c r="O182" s="54" t="s">
        <v>736</v>
      </c>
      <c r="P182" s="60"/>
      <c r="Q182" s="60"/>
      <c r="R182" s="54"/>
      <c r="S182" s="54"/>
      <c r="T182" s="54"/>
      <c r="U182" s="61">
        <v>0.93300000000000005</v>
      </c>
      <c r="V182" s="167"/>
      <c r="W182" s="167"/>
      <c r="X182" s="58">
        <f t="shared" si="10"/>
        <v>0.93300000000000005</v>
      </c>
      <c r="Y182" s="219">
        <v>1678</v>
      </c>
      <c r="Z182" s="63" t="str">
        <f t="shared" si="11"/>
        <v>F</v>
      </c>
    </row>
    <row r="183" spans="1:38">
      <c r="A183" s="53">
        <v>181</v>
      </c>
      <c r="B183" s="54" t="s">
        <v>766</v>
      </c>
      <c r="C183" s="54">
        <v>2009</v>
      </c>
      <c r="D183" s="83" t="s">
        <v>767</v>
      </c>
      <c r="E183" s="84" t="s">
        <v>49</v>
      </c>
      <c r="F183" s="74" t="s">
        <v>799</v>
      </c>
      <c r="G183" s="54" t="s">
        <v>800</v>
      </c>
      <c r="H183" s="74" t="s">
        <v>43</v>
      </c>
      <c r="I183" s="74"/>
      <c r="J183" s="74" t="s">
        <v>1071</v>
      </c>
      <c r="K183" s="74" t="s">
        <v>1095</v>
      </c>
      <c r="L183" s="91" t="s">
        <v>415</v>
      </c>
      <c r="M183" s="91" t="s">
        <v>801</v>
      </c>
      <c r="N183" s="74"/>
      <c r="O183" s="91" t="s">
        <v>802</v>
      </c>
      <c r="P183" s="74"/>
      <c r="Q183" s="74"/>
      <c r="R183" s="54"/>
      <c r="S183" s="54"/>
      <c r="T183" s="54"/>
      <c r="U183" s="91">
        <v>0.93300000000000005</v>
      </c>
      <c r="V183" s="93"/>
      <c r="W183" s="93"/>
      <c r="X183" s="58">
        <f t="shared" si="10"/>
        <v>0.93300000000000005</v>
      </c>
      <c r="Y183" s="228">
        <v>1665.4328069999999</v>
      </c>
      <c r="Z183" s="63" t="str">
        <f t="shared" si="11"/>
        <v>F</v>
      </c>
    </row>
    <row r="184" spans="1:38">
      <c r="A184" s="53">
        <v>203</v>
      </c>
      <c r="B184" s="64" t="s">
        <v>940</v>
      </c>
      <c r="C184" s="96">
        <v>2011</v>
      </c>
      <c r="D184" s="64" t="s">
        <v>941</v>
      </c>
      <c r="E184" s="56" t="s">
        <v>20</v>
      </c>
      <c r="F184" s="54">
        <v>2009</v>
      </c>
      <c r="G184" s="54" t="s">
        <v>326</v>
      </c>
      <c r="H184" s="54"/>
      <c r="I184" s="54"/>
      <c r="J184" s="160" t="s">
        <v>1071</v>
      </c>
      <c r="K184" s="54" t="s">
        <v>1088</v>
      </c>
      <c r="L184" s="54" t="s">
        <v>721</v>
      </c>
      <c r="M184" s="54"/>
      <c r="N184" s="54"/>
      <c r="O184" s="54">
        <v>65</v>
      </c>
      <c r="P184" s="54"/>
      <c r="Q184" s="54"/>
      <c r="R184" s="54"/>
      <c r="S184" s="54"/>
      <c r="T184" s="54"/>
      <c r="U184" s="54">
        <v>0.93</v>
      </c>
      <c r="V184" s="54"/>
      <c r="W184" s="54"/>
      <c r="X184" s="58">
        <f t="shared" si="10"/>
        <v>0.93</v>
      </c>
      <c r="Y184" s="72">
        <v>1766</v>
      </c>
      <c r="Z184" s="63" t="str">
        <f t="shared" si="11"/>
        <v>F</v>
      </c>
    </row>
    <row r="185" spans="1:38">
      <c r="A185" s="53">
        <v>181</v>
      </c>
      <c r="B185" s="54" t="s">
        <v>766</v>
      </c>
      <c r="C185" s="54">
        <v>2009</v>
      </c>
      <c r="D185" s="83" t="s">
        <v>767</v>
      </c>
      <c r="E185" s="90" t="s">
        <v>49</v>
      </c>
      <c r="F185" s="78" t="s">
        <v>834</v>
      </c>
      <c r="G185" s="54" t="s">
        <v>835</v>
      </c>
      <c r="H185" s="78" t="s">
        <v>43</v>
      </c>
      <c r="I185" s="78"/>
      <c r="J185" s="78" t="s">
        <v>1071</v>
      </c>
      <c r="K185" s="78" t="s">
        <v>1071</v>
      </c>
      <c r="L185" s="91" t="s">
        <v>415</v>
      </c>
      <c r="M185" s="91" t="s">
        <v>836</v>
      </c>
      <c r="N185" s="78"/>
      <c r="O185" s="91" t="s">
        <v>837</v>
      </c>
      <c r="P185" s="78"/>
      <c r="Q185" s="78"/>
      <c r="R185" s="54"/>
      <c r="S185" s="54"/>
      <c r="T185" s="54"/>
      <c r="U185" s="91">
        <v>0.92100000000000004</v>
      </c>
      <c r="V185" s="94"/>
      <c r="W185" s="94"/>
      <c r="X185" s="58">
        <f t="shared" si="10"/>
        <v>0.92100000000000004</v>
      </c>
      <c r="Y185" s="228">
        <v>1652.4666580000001</v>
      </c>
      <c r="Z185" s="63" t="str">
        <f t="shared" si="11"/>
        <v>F</v>
      </c>
    </row>
    <row r="186" spans="1:38">
      <c r="A186" s="53">
        <v>174</v>
      </c>
      <c r="B186" s="54" t="s">
        <v>697</v>
      </c>
      <c r="C186" s="54">
        <v>2009</v>
      </c>
      <c r="D186" s="55" t="s">
        <v>698</v>
      </c>
      <c r="E186" s="56" t="s">
        <v>20</v>
      </c>
      <c r="F186" s="57" t="s">
        <v>701</v>
      </c>
      <c r="G186" s="54" t="s">
        <v>43</v>
      </c>
      <c r="H186" s="54" t="s">
        <v>43</v>
      </c>
      <c r="I186" s="54"/>
      <c r="J186" s="160" t="s">
        <v>1071</v>
      </c>
      <c r="K186" s="54" t="s">
        <v>1106</v>
      </c>
      <c r="L186" s="54" t="s">
        <v>732</v>
      </c>
      <c r="M186" s="59"/>
      <c r="N186" s="59"/>
      <c r="O186" s="54" t="s">
        <v>732</v>
      </c>
      <c r="P186" s="60"/>
      <c r="Q186" s="60"/>
      <c r="R186" s="54"/>
      <c r="S186" s="54"/>
      <c r="T186" s="54"/>
      <c r="U186" s="61">
        <v>0.91500000000000004</v>
      </c>
      <c r="V186" s="167"/>
      <c r="W186" s="167"/>
      <c r="X186" s="58">
        <f t="shared" si="10"/>
        <v>0.91500000000000004</v>
      </c>
      <c r="Y186" s="219">
        <v>1622</v>
      </c>
      <c r="Z186" s="63" t="str">
        <f t="shared" si="11"/>
        <v>F</v>
      </c>
    </row>
    <row r="187" spans="1:38">
      <c r="A187" s="53">
        <v>174</v>
      </c>
      <c r="B187" s="54" t="s">
        <v>697</v>
      </c>
      <c r="C187" s="54">
        <v>2009</v>
      </c>
      <c r="D187" s="55" t="s">
        <v>698</v>
      </c>
      <c r="E187" s="56" t="s">
        <v>20</v>
      </c>
      <c r="F187" s="57" t="s">
        <v>701</v>
      </c>
      <c r="G187" s="54" t="s">
        <v>702</v>
      </c>
      <c r="H187" s="54" t="s">
        <v>38</v>
      </c>
      <c r="I187" s="54"/>
      <c r="J187" s="58" t="s">
        <v>1071</v>
      </c>
      <c r="K187" s="54" t="s">
        <v>1090</v>
      </c>
      <c r="L187" s="54" t="s">
        <v>703</v>
      </c>
      <c r="M187" s="59"/>
      <c r="N187" s="59"/>
      <c r="O187" s="54" t="s">
        <v>703</v>
      </c>
      <c r="P187" s="60"/>
      <c r="Q187" s="60"/>
      <c r="R187" s="54"/>
      <c r="S187" s="54"/>
      <c r="T187" s="54"/>
      <c r="U187" s="61">
        <v>0.85699999999999998</v>
      </c>
      <c r="V187" s="167"/>
      <c r="W187" s="167"/>
      <c r="X187" s="58">
        <f t="shared" si="10"/>
        <v>0.85699999999999998</v>
      </c>
      <c r="Y187" s="219">
        <v>1096</v>
      </c>
      <c r="Z187" s="63" t="str">
        <f t="shared" si="11"/>
        <v>S</v>
      </c>
    </row>
    <row r="188" spans="1:38">
      <c r="A188" s="53">
        <v>174</v>
      </c>
      <c r="B188" s="54" t="s">
        <v>697</v>
      </c>
      <c r="C188" s="54">
        <v>2009</v>
      </c>
      <c r="D188" s="55" t="s">
        <v>698</v>
      </c>
      <c r="E188" s="56" t="s">
        <v>20</v>
      </c>
      <c r="F188" s="57" t="s">
        <v>701</v>
      </c>
      <c r="G188" s="54" t="s">
        <v>706</v>
      </c>
      <c r="H188" s="54" t="s">
        <v>43</v>
      </c>
      <c r="I188" s="54"/>
      <c r="J188" s="160" t="s">
        <v>1071</v>
      </c>
      <c r="K188" s="54" t="s">
        <v>1103</v>
      </c>
      <c r="L188" s="54" t="s">
        <v>756</v>
      </c>
      <c r="M188" s="59"/>
      <c r="N188" s="59"/>
      <c r="O188" s="54" t="s">
        <v>756</v>
      </c>
      <c r="P188" s="60"/>
      <c r="Q188" s="60"/>
      <c r="R188" s="54"/>
      <c r="S188" s="54"/>
      <c r="T188" s="54"/>
      <c r="U188" s="61">
        <v>0.84199999999999997</v>
      </c>
      <c r="V188" s="167"/>
      <c r="W188" s="167"/>
      <c r="X188" s="58">
        <f t="shared" si="10"/>
        <v>0.84199999999999997</v>
      </c>
      <c r="Y188" s="219">
        <v>1825</v>
      </c>
      <c r="Z188" s="63" t="str">
        <f t="shared" si="11"/>
        <v>S</v>
      </c>
      <c r="AA188"/>
      <c r="AB188"/>
      <c r="AC188"/>
      <c r="AD188"/>
      <c r="AE188"/>
      <c r="AF188"/>
      <c r="AG188"/>
    </row>
    <row r="189" spans="1:38" s="107" customFormat="1">
      <c r="A189" s="97">
        <v>4</v>
      </c>
      <c r="B189" s="103" t="s">
        <v>16</v>
      </c>
      <c r="C189" s="103">
        <v>1969</v>
      </c>
      <c r="D189" s="103" t="s">
        <v>17</v>
      </c>
      <c r="E189" s="99" t="s">
        <v>20</v>
      </c>
      <c r="F189" s="98">
        <v>1968</v>
      </c>
      <c r="G189" s="98" t="s">
        <v>21</v>
      </c>
      <c r="H189" s="98" t="s">
        <v>23</v>
      </c>
      <c r="I189" s="98"/>
      <c r="J189" s="181" t="s">
        <v>1013</v>
      </c>
      <c r="K189" s="181" t="s">
        <v>1087</v>
      </c>
      <c r="L189" s="98" t="s">
        <v>27</v>
      </c>
      <c r="M189" s="98"/>
      <c r="N189" s="98"/>
      <c r="O189" s="98" t="s">
        <v>28</v>
      </c>
      <c r="P189" s="98"/>
      <c r="Q189" s="98"/>
      <c r="R189" s="98"/>
      <c r="S189" s="98"/>
      <c r="T189" s="98"/>
      <c r="U189" s="98"/>
      <c r="V189" s="98"/>
      <c r="W189" s="98"/>
      <c r="X189" s="101" t="str">
        <f t="shared" ref="X189:X252" si="12">IF(R189&lt;&gt;0,IF(R189&gt;1,R189/100,R189),IF(U189&lt;&gt;0,IF(U189&gt;1,U189/100,U189),""))</f>
        <v/>
      </c>
      <c r="Y189" s="111">
        <v>1143</v>
      </c>
      <c r="Z189" s="106" t="str">
        <f t="shared" ref="Z189:Z200" si="13">IF(X189&lt;&gt;"",IF(X189&lt;0.9,"S","F"),"")</f>
        <v/>
      </c>
      <c r="AA189" s="190"/>
      <c r="AB189" s="190" t="s">
        <v>1206</v>
      </c>
      <c r="AC189" s="190" t="s">
        <v>1207</v>
      </c>
      <c r="AD189" s="190" t="s">
        <v>1208</v>
      </c>
      <c r="AE189" s="190" t="s">
        <v>1209</v>
      </c>
      <c r="AF189" s="190" t="s">
        <v>1210</v>
      </c>
      <c r="AG189" s="190" t="s">
        <v>1211</v>
      </c>
      <c r="AH189" s="174"/>
      <c r="AI189" s="174"/>
      <c r="AJ189" s="174"/>
      <c r="AK189" s="174"/>
      <c r="AL189" s="174"/>
    </row>
    <row r="190" spans="1:38" s="107" customFormat="1">
      <c r="A190" s="174"/>
      <c r="B190" s="182" t="s">
        <v>968</v>
      </c>
      <c r="C190" s="132">
        <v>1996</v>
      </c>
      <c r="D190" s="174"/>
      <c r="E190" s="180" t="s">
        <v>172</v>
      </c>
      <c r="F190" s="174"/>
      <c r="G190" s="174"/>
      <c r="H190" s="182" t="s">
        <v>23</v>
      </c>
      <c r="I190" s="182"/>
      <c r="J190" s="101" t="s">
        <v>1013</v>
      </c>
      <c r="K190" s="182" t="s">
        <v>1002</v>
      </c>
      <c r="L190" s="182" t="s">
        <v>1002</v>
      </c>
      <c r="M190" s="182" t="s">
        <v>1003</v>
      </c>
      <c r="N190" s="182"/>
      <c r="O190" s="182" t="s">
        <v>1005</v>
      </c>
      <c r="P190" s="174"/>
      <c r="Q190" s="174"/>
      <c r="R190" s="174"/>
      <c r="S190" s="174"/>
      <c r="T190" s="174"/>
      <c r="U190" s="174"/>
      <c r="V190" s="174">
        <f>837*44/12/2</f>
        <v>1534.5</v>
      </c>
      <c r="W190" s="174"/>
      <c r="X190" s="101" t="str">
        <f t="shared" si="12"/>
        <v/>
      </c>
      <c r="Y190" s="230">
        <f>837*44/12/2</f>
        <v>1534.5</v>
      </c>
      <c r="Z190" s="106" t="str">
        <f t="shared" si="13"/>
        <v/>
      </c>
      <c r="AA190" s="307" t="s">
        <v>1358</v>
      </c>
      <c r="AB190" s="307">
        <f>AVERAGE($Y$189:$Y$394)</f>
        <v>1564.1504372847894</v>
      </c>
      <c r="AC190" s="307">
        <f>MEDIAN($Y$189:$Y$394)</f>
        <v>1596.45</v>
      </c>
      <c r="AD190" s="307">
        <f>MAX($Y$189:$Y$394)</f>
        <v>1932.8</v>
      </c>
      <c r="AE190" s="307">
        <f>MIN($Y$189:$Y$394)</f>
        <v>667</v>
      </c>
      <c r="AF190" s="307">
        <f>STDEV($Y$189:$Y$394)</f>
        <v>155.40427219938294</v>
      </c>
      <c r="AG190" s="307">
        <f>COUNT($Y$189:$Y$394)</f>
        <v>206</v>
      </c>
      <c r="AI190" s="174"/>
      <c r="AJ190" s="174"/>
      <c r="AK190" s="174"/>
      <c r="AL190" s="174"/>
    </row>
    <row r="191" spans="1:38" s="107" customFormat="1">
      <c r="A191" s="97">
        <v>4</v>
      </c>
      <c r="B191" s="103" t="s">
        <v>16</v>
      </c>
      <c r="C191" s="103">
        <v>1969</v>
      </c>
      <c r="D191" s="103" t="s">
        <v>17</v>
      </c>
      <c r="E191" s="99" t="s">
        <v>20</v>
      </c>
      <c r="F191" s="98">
        <v>1968</v>
      </c>
      <c r="G191" s="98" t="s">
        <v>21</v>
      </c>
      <c r="H191" s="98" t="s">
        <v>23</v>
      </c>
      <c r="I191" s="98"/>
      <c r="J191" s="181" t="s">
        <v>1013</v>
      </c>
      <c r="K191" s="181" t="s">
        <v>1168</v>
      </c>
      <c r="L191" s="98" t="s">
        <v>24</v>
      </c>
      <c r="M191" s="98"/>
      <c r="N191" s="98"/>
      <c r="O191" s="98" t="s">
        <v>25</v>
      </c>
      <c r="P191" s="98"/>
      <c r="Q191" s="98"/>
      <c r="R191" s="98"/>
      <c r="S191" s="98"/>
      <c r="T191" s="98"/>
      <c r="U191" s="98"/>
      <c r="V191" s="98"/>
      <c r="W191" s="98"/>
      <c r="X191" s="101" t="str">
        <f t="shared" si="12"/>
        <v/>
      </c>
      <c r="Y191" s="111">
        <v>1030</v>
      </c>
      <c r="Z191" s="106" t="str">
        <f t="shared" si="13"/>
        <v/>
      </c>
      <c r="AA191" s="190" t="s">
        <v>1310</v>
      </c>
      <c r="AB191" s="190">
        <f>AVERAGE($Y$201:$Y$278)</f>
        <v>1663.7604311923074</v>
      </c>
      <c r="AC191" s="190">
        <f>MEDIAN($Y$201:$Y$278)</f>
        <v>1667.9906475</v>
      </c>
      <c r="AD191" s="190">
        <f>MAX($Y$201:$Y$278)</f>
        <v>1932.8</v>
      </c>
      <c r="AE191" s="190">
        <f>MIN($Y$201:$Y$278)</f>
        <v>667</v>
      </c>
      <c r="AF191" s="190">
        <f>STDEV($Y$201:$Y$278)</f>
        <v>137.8370701030743</v>
      </c>
      <c r="AG191" s="190">
        <f>COUNT($Y$201:$Y$278)</f>
        <v>78</v>
      </c>
      <c r="AH191" s="174"/>
      <c r="AI191" s="174"/>
      <c r="AJ191" s="174"/>
      <c r="AK191" s="174"/>
      <c r="AL191" s="174"/>
    </row>
    <row r="192" spans="1:38" s="107" customFormat="1">
      <c r="A192" s="97">
        <v>4</v>
      </c>
      <c r="B192" s="103" t="s">
        <v>16</v>
      </c>
      <c r="C192" s="103">
        <v>1969</v>
      </c>
      <c r="D192" s="103" t="s">
        <v>17</v>
      </c>
      <c r="E192" s="99" t="s">
        <v>20</v>
      </c>
      <c r="F192" s="98">
        <v>1968</v>
      </c>
      <c r="G192" s="98" t="s">
        <v>21</v>
      </c>
      <c r="H192" s="98" t="s">
        <v>23</v>
      </c>
      <c r="I192" s="98"/>
      <c r="J192" s="181" t="s">
        <v>1013</v>
      </c>
      <c r="K192" s="181" t="s">
        <v>1168</v>
      </c>
      <c r="L192" s="98" t="s">
        <v>24</v>
      </c>
      <c r="M192" s="98"/>
      <c r="N192" s="98"/>
      <c r="O192" s="98" t="s">
        <v>26</v>
      </c>
      <c r="P192" s="98"/>
      <c r="Q192" s="98"/>
      <c r="R192" s="98"/>
      <c r="S192" s="98"/>
      <c r="T192" s="98"/>
      <c r="U192" s="98"/>
      <c r="V192" s="98"/>
      <c r="W192" s="98"/>
      <c r="X192" s="101" t="str">
        <f t="shared" si="12"/>
        <v/>
      </c>
      <c r="Y192" s="111">
        <v>1213</v>
      </c>
      <c r="Z192" s="106" t="str">
        <f t="shared" si="13"/>
        <v/>
      </c>
      <c r="AA192" s="190" t="s">
        <v>1311</v>
      </c>
      <c r="AB192" s="190">
        <f>AVERAGE($Y$279:$Y$360)</f>
        <v>1570.302964808943</v>
      </c>
      <c r="AC192" s="190">
        <f>MEDIAN($Y$279:$Y$360)</f>
        <v>1581.5</v>
      </c>
      <c r="AD192" s="190">
        <f>MAX($Y$279:$Y$360)</f>
        <v>1656</v>
      </c>
      <c r="AE192" s="190">
        <f>MIN($Y$279:$Y$360)</f>
        <v>1310.8333333333333</v>
      </c>
      <c r="AF192" s="190">
        <f>STDEV($Y$279:$Y$360)</f>
        <v>56.012417621914409</v>
      </c>
      <c r="AG192" s="190">
        <f>COUNT($Y$279:$Y$360)</f>
        <v>82</v>
      </c>
      <c r="AH192" s="174" t="s">
        <v>1212</v>
      </c>
      <c r="AI192" s="174"/>
      <c r="AJ192" s="174"/>
      <c r="AK192" s="174"/>
      <c r="AL192" s="174"/>
    </row>
    <row r="193" spans="1:38" s="107" customFormat="1">
      <c r="A193" s="97">
        <v>63</v>
      </c>
      <c r="B193" s="103" t="s">
        <v>168</v>
      </c>
      <c r="C193" s="103">
        <v>1989</v>
      </c>
      <c r="D193" s="103" t="s">
        <v>169</v>
      </c>
      <c r="E193" s="99" t="s">
        <v>172</v>
      </c>
      <c r="F193" s="127">
        <v>32022</v>
      </c>
      <c r="G193" s="98" t="s">
        <v>176</v>
      </c>
      <c r="H193" s="98" t="s">
        <v>95</v>
      </c>
      <c r="I193" s="98" t="s">
        <v>1014</v>
      </c>
      <c r="J193" s="101" t="s">
        <v>1013</v>
      </c>
      <c r="K193" s="98" t="s">
        <v>1042</v>
      </c>
      <c r="L193" s="98" t="s">
        <v>177</v>
      </c>
      <c r="M193" s="98"/>
      <c r="N193" s="98"/>
      <c r="O193" s="98" t="s">
        <v>178</v>
      </c>
      <c r="P193" s="98"/>
      <c r="Q193" s="98"/>
      <c r="R193" s="98"/>
      <c r="S193" s="98"/>
      <c r="T193" s="98"/>
      <c r="U193" s="98"/>
      <c r="V193" s="98"/>
      <c r="W193" s="98"/>
      <c r="X193" s="101" t="str">
        <f t="shared" si="12"/>
        <v/>
      </c>
      <c r="Y193" s="111">
        <v>1626</v>
      </c>
      <c r="Z193" s="106" t="str">
        <f t="shared" si="13"/>
        <v/>
      </c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</row>
    <row r="194" spans="1:38" s="107" customFormat="1">
      <c r="A194" s="97">
        <v>63</v>
      </c>
      <c r="B194" s="103" t="s">
        <v>168</v>
      </c>
      <c r="C194" s="103">
        <v>1989</v>
      </c>
      <c r="D194" s="103" t="s">
        <v>169</v>
      </c>
      <c r="E194" s="99" t="s">
        <v>172</v>
      </c>
      <c r="F194" s="98" t="s">
        <v>179</v>
      </c>
      <c r="G194" s="98" t="s">
        <v>153</v>
      </c>
      <c r="H194" s="98" t="s">
        <v>95</v>
      </c>
      <c r="I194" s="98" t="s">
        <v>1014</v>
      </c>
      <c r="J194" s="101" t="s">
        <v>1013</v>
      </c>
      <c r="K194" s="98" t="s">
        <v>1042</v>
      </c>
      <c r="L194" s="98" t="s">
        <v>180</v>
      </c>
      <c r="M194" s="98"/>
      <c r="N194" s="98"/>
      <c r="O194" s="98" t="s">
        <v>155</v>
      </c>
      <c r="P194" s="98"/>
      <c r="Q194" s="98"/>
      <c r="R194" s="98"/>
      <c r="S194" s="98"/>
      <c r="T194" s="98"/>
      <c r="U194" s="98"/>
      <c r="V194" s="98"/>
      <c r="W194" s="98"/>
      <c r="X194" s="101" t="str">
        <f t="shared" si="12"/>
        <v/>
      </c>
      <c r="Y194" s="111">
        <v>1637</v>
      </c>
      <c r="Z194" s="106" t="str">
        <f t="shared" si="13"/>
        <v/>
      </c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</row>
    <row r="195" spans="1:38" s="107" customFormat="1">
      <c r="A195" s="97">
        <v>103</v>
      </c>
      <c r="B195" s="103" t="s">
        <v>311</v>
      </c>
      <c r="C195" s="103">
        <v>1994</v>
      </c>
      <c r="D195" s="103" t="s">
        <v>312</v>
      </c>
      <c r="E195" s="99" t="s">
        <v>20</v>
      </c>
      <c r="F195" s="98">
        <v>1995</v>
      </c>
      <c r="G195" s="98"/>
      <c r="H195" s="98"/>
      <c r="I195" s="98"/>
      <c r="J195" s="98" t="s">
        <v>1013</v>
      </c>
      <c r="K195" s="98" t="s">
        <v>1096</v>
      </c>
      <c r="L195" s="98" t="s">
        <v>315</v>
      </c>
      <c r="M195" s="98" t="s">
        <v>316</v>
      </c>
      <c r="N195" s="98"/>
      <c r="O195" s="98" t="s">
        <v>317</v>
      </c>
      <c r="P195" s="98"/>
      <c r="Q195" s="98"/>
      <c r="R195" s="98"/>
      <c r="S195" s="98"/>
      <c r="T195" s="98"/>
      <c r="U195" s="98"/>
      <c r="V195" s="98"/>
      <c r="W195" s="98"/>
      <c r="X195" s="101" t="str">
        <f t="shared" si="12"/>
        <v/>
      </c>
      <c r="Y195" s="111">
        <v>870</v>
      </c>
      <c r="Z195" s="106" t="str">
        <f t="shared" si="13"/>
        <v/>
      </c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</row>
    <row r="196" spans="1:38" s="107" customFormat="1">
      <c r="A196" s="97">
        <v>4</v>
      </c>
      <c r="B196" s="103" t="s">
        <v>16</v>
      </c>
      <c r="C196" s="103">
        <v>1969</v>
      </c>
      <c r="D196" s="103" t="s">
        <v>17</v>
      </c>
      <c r="E196" s="99" t="s">
        <v>20</v>
      </c>
      <c r="F196" s="98">
        <v>1968</v>
      </c>
      <c r="G196" s="98" t="s">
        <v>21</v>
      </c>
      <c r="H196" s="98" t="s">
        <v>23</v>
      </c>
      <c r="I196" s="98"/>
      <c r="J196" s="181" t="s">
        <v>1013</v>
      </c>
      <c r="K196" s="181" t="s">
        <v>1169</v>
      </c>
      <c r="L196" s="98" t="s">
        <v>29</v>
      </c>
      <c r="M196" s="98"/>
      <c r="N196" s="98"/>
      <c r="O196" s="98" t="s">
        <v>31</v>
      </c>
      <c r="P196" s="98"/>
      <c r="Q196" s="98"/>
      <c r="R196" s="98"/>
      <c r="S196" s="98"/>
      <c r="T196" s="98"/>
      <c r="U196" s="98"/>
      <c r="V196" s="98"/>
      <c r="W196" s="98"/>
      <c r="X196" s="101" t="str">
        <f t="shared" si="12"/>
        <v/>
      </c>
      <c r="Y196" s="111">
        <v>1395</v>
      </c>
      <c r="Z196" s="106" t="str">
        <f t="shared" si="13"/>
        <v/>
      </c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</row>
    <row r="197" spans="1:38" s="107" customFormat="1">
      <c r="A197" s="97">
        <v>4</v>
      </c>
      <c r="B197" s="103" t="s">
        <v>16</v>
      </c>
      <c r="C197" s="103">
        <v>1969</v>
      </c>
      <c r="D197" s="103" t="s">
        <v>17</v>
      </c>
      <c r="E197" s="99" t="s">
        <v>20</v>
      </c>
      <c r="F197" s="98">
        <v>1968</v>
      </c>
      <c r="G197" s="98" t="s">
        <v>21</v>
      </c>
      <c r="H197" s="98" t="s">
        <v>23</v>
      </c>
      <c r="I197" s="98"/>
      <c r="J197" s="181" t="s">
        <v>1013</v>
      </c>
      <c r="K197" s="181" t="s">
        <v>1169</v>
      </c>
      <c r="L197" s="98" t="s">
        <v>29</v>
      </c>
      <c r="M197" s="98"/>
      <c r="N197" s="98"/>
      <c r="O197" s="98" t="s">
        <v>30</v>
      </c>
      <c r="P197" s="98"/>
      <c r="Q197" s="98"/>
      <c r="R197" s="98"/>
      <c r="S197" s="98"/>
      <c r="T197" s="98"/>
      <c r="U197" s="98"/>
      <c r="V197" s="98"/>
      <c r="W197" s="98"/>
      <c r="X197" s="101" t="str">
        <f t="shared" si="12"/>
        <v/>
      </c>
      <c r="Y197" s="111">
        <v>1554</v>
      </c>
      <c r="Z197" s="106" t="str">
        <f t="shared" si="13"/>
        <v/>
      </c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</row>
    <row r="198" spans="1:38" s="107" customFormat="1">
      <c r="A198" s="174"/>
      <c r="B198" s="182" t="s">
        <v>968</v>
      </c>
      <c r="C198" s="132">
        <v>1996</v>
      </c>
      <c r="D198" s="174"/>
      <c r="E198" s="180" t="s">
        <v>172</v>
      </c>
      <c r="F198" s="174"/>
      <c r="G198" s="174"/>
      <c r="H198" s="182" t="s">
        <v>23</v>
      </c>
      <c r="I198" s="182"/>
      <c r="J198" s="101" t="s">
        <v>1013</v>
      </c>
      <c r="K198" s="182" t="s">
        <v>1006</v>
      </c>
      <c r="L198" s="182" t="s">
        <v>1006</v>
      </c>
      <c r="M198" s="182" t="s">
        <v>1007</v>
      </c>
      <c r="N198" s="182"/>
      <c r="O198" s="182" t="s">
        <v>1008</v>
      </c>
      <c r="P198" s="174"/>
      <c r="Q198" s="174"/>
      <c r="R198" s="174"/>
      <c r="S198" s="174"/>
      <c r="T198" s="174"/>
      <c r="U198" s="174"/>
      <c r="V198" s="174">
        <f>838*44/12/2</f>
        <v>1536.3333333333333</v>
      </c>
      <c r="W198" s="174"/>
      <c r="X198" s="101" t="str">
        <f t="shared" si="12"/>
        <v/>
      </c>
      <c r="Y198" s="230">
        <f>838*44/12/2</f>
        <v>1536.3333333333333</v>
      </c>
      <c r="Z198" s="106" t="str">
        <f t="shared" si="13"/>
        <v/>
      </c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</row>
    <row r="199" spans="1:38" s="107" customFormat="1">
      <c r="A199" s="97">
        <v>121</v>
      </c>
      <c r="B199" s="103" t="s">
        <v>427</v>
      </c>
      <c r="C199" s="103">
        <v>2002</v>
      </c>
      <c r="D199" s="103" t="s">
        <v>428</v>
      </c>
      <c r="E199" s="99" t="s">
        <v>430</v>
      </c>
      <c r="F199" s="98">
        <v>2002</v>
      </c>
      <c r="G199" s="98" t="s">
        <v>466</v>
      </c>
      <c r="H199" s="98" t="s">
        <v>159</v>
      </c>
      <c r="I199" s="98"/>
      <c r="J199" s="98" t="s">
        <v>1013</v>
      </c>
      <c r="K199" s="98" t="s">
        <v>1162</v>
      </c>
      <c r="L199" s="98" t="s">
        <v>462</v>
      </c>
      <c r="M199" s="109" t="s">
        <v>467</v>
      </c>
      <c r="N199" s="109" t="s">
        <v>468</v>
      </c>
      <c r="O199" s="98" t="s">
        <v>469</v>
      </c>
      <c r="P199" s="98"/>
      <c r="Q199" s="98"/>
      <c r="R199" s="98"/>
      <c r="S199" s="98"/>
      <c r="T199" s="98"/>
      <c r="U199" s="98"/>
      <c r="V199" s="98"/>
      <c r="W199" s="98"/>
      <c r="X199" s="101" t="str">
        <f t="shared" si="12"/>
        <v/>
      </c>
      <c r="Y199" s="111">
        <v>1558</v>
      </c>
      <c r="Z199" s="106" t="str">
        <f t="shared" si="13"/>
        <v/>
      </c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</row>
    <row r="200" spans="1:38" s="107" customFormat="1">
      <c r="A200" s="97">
        <v>121</v>
      </c>
      <c r="B200" s="103" t="s">
        <v>427</v>
      </c>
      <c r="C200" s="103">
        <v>2002</v>
      </c>
      <c r="D200" s="103" t="s">
        <v>428</v>
      </c>
      <c r="E200" s="99" t="s">
        <v>430</v>
      </c>
      <c r="F200" s="98">
        <v>2002</v>
      </c>
      <c r="G200" s="98" t="s">
        <v>461</v>
      </c>
      <c r="H200" s="98"/>
      <c r="I200" s="98"/>
      <c r="J200" s="98" t="s">
        <v>1013</v>
      </c>
      <c r="K200" s="98" t="s">
        <v>1162</v>
      </c>
      <c r="L200" s="98" t="s">
        <v>462</v>
      </c>
      <c r="M200" s="98" t="s">
        <v>463</v>
      </c>
      <c r="N200" s="98" t="s">
        <v>464</v>
      </c>
      <c r="O200" s="98" t="s">
        <v>465</v>
      </c>
      <c r="P200" s="98"/>
      <c r="Q200" s="98"/>
      <c r="R200" s="98"/>
      <c r="S200" s="98"/>
      <c r="T200" s="98"/>
      <c r="U200" s="98"/>
      <c r="V200" s="98"/>
      <c r="W200" s="98"/>
      <c r="X200" s="101" t="str">
        <f t="shared" si="12"/>
        <v/>
      </c>
      <c r="Y200" s="111">
        <v>1570</v>
      </c>
      <c r="Z200" s="106" t="str">
        <f t="shared" si="13"/>
        <v/>
      </c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</row>
    <row r="201" spans="1:38" s="107" customFormat="1">
      <c r="A201" s="97">
        <v>35</v>
      </c>
      <c r="B201" s="103" t="s">
        <v>45</v>
      </c>
      <c r="C201" s="103">
        <v>1982</v>
      </c>
      <c r="D201" s="103" t="s">
        <v>46</v>
      </c>
      <c r="E201" s="99" t="s">
        <v>49</v>
      </c>
      <c r="F201" s="98" t="s">
        <v>50</v>
      </c>
      <c r="G201" s="98" t="s">
        <v>51</v>
      </c>
      <c r="H201" s="98" t="s">
        <v>23</v>
      </c>
      <c r="I201" s="98"/>
      <c r="J201" s="98" t="s">
        <v>1013</v>
      </c>
      <c r="K201" s="98" t="s">
        <v>1134</v>
      </c>
      <c r="L201" s="98" t="s">
        <v>52</v>
      </c>
      <c r="M201" s="98"/>
      <c r="N201" s="98"/>
      <c r="O201" s="98" t="s">
        <v>56</v>
      </c>
      <c r="P201" s="98"/>
      <c r="Q201" s="98"/>
      <c r="R201" s="98"/>
      <c r="S201" s="98"/>
      <c r="T201" s="98"/>
      <c r="U201" s="98"/>
      <c r="V201" s="98"/>
      <c r="W201" s="98"/>
      <c r="X201" s="101" t="str">
        <f t="shared" si="12"/>
        <v/>
      </c>
      <c r="Y201" s="111">
        <v>667</v>
      </c>
      <c r="Z201" s="106" t="s">
        <v>1192</v>
      </c>
      <c r="AH201" s="174"/>
      <c r="AI201" s="174"/>
      <c r="AJ201" s="174"/>
      <c r="AK201" s="174"/>
      <c r="AL201" s="174"/>
    </row>
    <row r="202" spans="1:38" s="107" customFormat="1">
      <c r="A202" s="97">
        <v>35</v>
      </c>
      <c r="B202" s="103" t="s">
        <v>45</v>
      </c>
      <c r="C202" s="103">
        <v>1982</v>
      </c>
      <c r="D202" s="103" t="s">
        <v>46</v>
      </c>
      <c r="E202" s="99" t="s">
        <v>49</v>
      </c>
      <c r="F202" s="98" t="s">
        <v>50</v>
      </c>
      <c r="G202" s="98" t="s">
        <v>51</v>
      </c>
      <c r="H202" s="98" t="s">
        <v>23</v>
      </c>
      <c r="I202" s="98"/>
      <c r="J202" s="98" t="s">
        <v>1013</v>
      </c>
      <c r="K202" s="98" t="s">
        <v>1134</v>
      </c>
      <c r="L202" s="98" t="s">
        <v>52</v>
      </c>
      <c r="M202" s="98"/>
      <c r="N202" s="98"/>
      <c r="O202" s="98" t="s">
        <v>53</v>
      </c>
      <c r="P202" s="98"/>
      <c r="Q202" s="98"/>
      <c r="R202" s="98"/>
      <c r="S202" s="98"/>
      <c r="T202" s="98"/>
      <c r="U202" s="98"/>
      <c r="V202" s="98"/>
      <c r="W202" s="98"/>
      <c r="X202" s="101" t="str">
        <f t="shared" si="12"/>
        <v/>
      </c>
      <c r="Y202" s="111">
        <v>1629</v>
      </c>
      <c r="Z202" s="106" t="s">
        <v>1192</v>
      </c>
      <c r="AH202" s="174"/>
      <c r="AI202" s="174"/>
      <c r="AJ202" s="174"/>
      <c r="AK202" s="174"/>
      <c r="AL202" s="174"/>
    </row>
    <row r="203" spans="1:38" s="107" customFormat="1">
      <c r="A203" s="97">
        <v>35</v>
      </c>
      <c r="B203" s="103" t="s">
        <v>45</v>
      </c>
      <c r="C203" s="103">
        <v>1982</v>
      </c>
      <c r="D203" s="103" t="s">
        <v>46</v>
      </c>
      <c r="E203" s="99" t="s">
        <v>49</v>
      </c>
      <c r="F203" s="98" t="s">
        <v>50</v>
      </c>
      <c r="G203" s="98" t="s">
        <v>51</v>
      </c>
      <c r="H203" s="98" t="s">
        <v>23</v>
      </c>
      <c r="I203" s="98"/>
      <c r="J203" s="98" t="s">
        <v>1013</v>
      </c>
      <c r="K203" s="98" t="s">
        <v>1134</v>
      </c>
      <c r="L203" s="98" t="s">
        <v>52</v>
      </c>
      <c r="M203" s="98"/>
      <c r="N203" s="98"/>
      <c r="O203" s="98" t="s">
        <v>57</v>
      </c>
      <c r="P203" s="98"/>
      <c r="Q203" s="98"/>
      <c r="R203" s="98"/>
      <c r="S203" s="98"/>
      <c r="T203" s="98"/>
      <c r="U203" s="98"/>
      <c r="V203" s="98"/>
      <c r="W203" s="98"/>
      <c r="X203" s="101" t="str">
        <f t="shared" si="12"/>
        <v/>
      </c>
      <c r="Y203" s="111">
        <v>1646</v>
      </c>
      <c r="Z203" s="106" t="s">
        <v>1192</v>
      </c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</row>
    <row r="204" spans="1:38" s="107" customFormat="1">
      <c r="A204" s="97">
        <v>35</v>
      </c>
      <c r="B204" s="103" t="s">
        <v>45</v>
      </c>
      <c r="C204" s="103">
        <v>1982</v>
      </c>
      <c r="D204" s="103" t="s">
        <v>46</v>
      </c>
      <c r="E204" s="99" t="s">
        <v>49</v>
      </c>
      <c r="F204" s="98" t="s">
        <v>50</v>
      </c>
      <c r="G204" s="98" t="s">
        <v>51</v>
      </c>
      <c r="H204" s="98" t="s">
        <v>23</v>
      </c>
      <c r="I204" s="98"/>
      <c r="J204" s="98" t="s">
        <v>1013</v>
      </c>
      <c r="K204" s="98" t="s">
        <v>1134</v>
      </c>
      <c r="L204" s="98" t="s">
        <v>52</v>
      </c>
      <c r="M204" s="98"/>
      <c r="N204" s="98"/>
      <c r="O204" s="98" t="s">
        <v>54</v>
      </c>
      <c r="P204" s="98"/>
      <c r="Q204" s="98"/>
      <c r="R204" s="98"/>
      <c r="S204" s="98"/>
      <c r="T204" s="98"/>
      <c r="U204" s="98"/>
      <c r="V204" s="98"/>
      <c r="W204" s="98"/>
      <c r="X204" s="101" t="str">
        <f t="shared" si="12"/>
        <v/>
      </c>
      <c r="Y204" s="111">
        <v>1695</v>
      </c>
      <c r="Z204" s="106" t="s">
        <v>1192</v>
      </c>
      <c r="AH204" s="174"/>
      <c r="AI204" s="174"/>
      <c r="AJ204" s="174"/>
      <c r="AK204" s="174"/>
      <c r="AL204" s="174"/>
    </row>
    <row r="205" spans="1:38" s="107" customFormat="1">
      <c r="A205" s="97">
        <v>35</v>
      </c>
      <c r="B205" s="103" t="s">
        <v>45</v>
      </c>
      <c r="C205" s="103">
        <v>1982</v>
      </c>
      <c r="D205" s="103" t="s">
        <v>46</v>
      </c>
      <c r="E205" s="99" t="s">
        <v>49</v>
      </c>
      <c r="F205" s="98" t="s">
        <v>50</v>
      </c>
      <c r="G205" s="98" t="s">
        <v>51</v>
      </c>
      <c r="H205" s="98" t="s">
        <v>23</v>
      </c>
      <c r="I205" s="98"/>
      <c r="J205" s="98" t="s">
        <v>1013</v>
      </c>
      <c r="K205" s="98" t="s">
        <v>1134</v>
      </c>
      <c r="L205" s="98" t="s">
        <v>52</v>
      </c>
      <c r="M205" s="98"/>
      <c r="N205" s="98"/>
      <c r="O205" s="98" t="s">
        <v>55</v>
      </c>
      <c r="P205" s="98"/>
      <c r="Q205" s="98"/>
      <c r="R205" s="98"/>
      <c r="S205" s="98"/>
      <c r="T205" s="98"/>
      <c r="U205" s="98"/>
      <c r="V205" s="98"/>
      <c r="W205" s="98"/>
      <c r="X205" s="101" t="str">
        <f t="shared" si="12"/>
        <v/>
      </c>
      <c r="Y205" s="111">
        <v>1703</v>
      </c>
      <c r="Z205" s="106" t="s">
        <v>1192</v>
      </c>
      <c r="AH205" s="174"/>
      <c r="AI205" s="174"/>
      <c r="AJ205" s="174"/>
      <c r="AK205" s="174"/>
      <c r="AL205" s="174"/>
    </row>
    <row r="206" spans="1:38" s="107" customFormat="1">
      <c r="A206" s="97">
        <v>37</v>
      </c>
      <c r="B206" s="103" t="s">
        <v>45</v>
      </c>
      <c r="C206" s="103">
        <v>1982</v>
      </c>
      <c r="D206" s="103" t="s">
        <v>92</v>
      </c>
      <c r="E206" s="99" t="s">
        <v>49</v>
      </c>
      <c r="F206" s="98">
        <v>1989</v>
      </c>
      <c r="G206" s="98" t="s">
        <v>94</v>
      </c>
      <c r="H206" s="98" t="s">
        <v>95</v>
      </c>
      <c r="I206" s="98"/>
      <c r="J206" s="98" t="s">
        <v>1013</v>
      </c>
      <c r="K206" s="98" t="s">
        <v>1134</v>
      </c>
      <c r="L206" s="98" t="s">
        <v>96</v>
      </c>
      <c r="M206" s="98"/>
      <c r="N206" s="98"/>
      <c r="O206" s="98" t="s">
        <v>102</v>
      </c>
      <c r="P206" s="98"/>
      <c r="Q206" s="98"/>
      <c r="R206" s="98"/>
      <c r="S206" s="98"/>
      <c r="T206" s="98"/>
      <c r="U206" s="98"/>
      <c r="V206" s="98">
        <v>1760</v>
      </c>
      <c r="W206" s="98"/>
      <c r="X206" s="101" t="str">
        <f t="shared" si="12"/>
        <v/>
      </c>
      <c r="Y206" s="111">
        <f>+V206</f>
        <v>1760</v>
      </c>
      <c r="Z206" s="106" t="s">
        <v>1192</v>
      </c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</row>
    <row r="207" spans="1:38" s="107" customFormat="1">
      <c r="A207" s="97">
        <v>118</v>
      </c>
      <c r="B207" s="123" t="s">
        <v>399</v>
      </c>
      <c r="C207" s="98">
        <v>1999</v>
      </c>
      <c r="D207" s="123" t="s">
        <v>400</v>
      </c>
      <c r="E207" s="99" t="s">
        <v>20</v>
      </c>
      <c r="F207" s="98">
        <v>1999</v>
      </c>
      <c r="G207" s="98" t="s">
        <v>326</v>
      </c>
      <c r="H207" s="98" t="s">
        <v>159</v>
      </c>
      <c r="I207" s="98"/>
      <c r="J207" s="101" t="s">
        <v>1013</v>
      </c>
      <c r="K207" s="98" t="s">
        <v>1056</v>
      </c>
      <c r="L207" s="98" t="s">
        <v>406</v>
      </c>
      <c r="M207" s="98"/>
      <c r="N207" s="98"/>
      <c r="O207" s="98">
        <v>4</v>
      </c>
      <c r="P207" s="98"/>
      <c r="Q207" s="98"/>
      <c r="R207" s="98"/>
      <c r="S207" s="98"/>
      <c r="T207" s="98"/>
      <c r="U207" s="98">
        <v>0.98</v>
      </c>
      <c r="V207" s="98"/>
      <c r="W207" s="98"/>
      <c r="X207" s="101">
        <f t="shared" si="12"/>
        <v>0.98</v>
      </c>
      <c r="Y207" s="111">
        <v>1932.8</v>
      </c>
      <c r="Z207" s="106" t="str">
        <f t="shared" ref="Z207:Z238" si="14">IF(X207&lt;&gt;"",IF(X207&lt;0.9,"S","F"),"")</f>
        <v>F</v>
      </c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</row>
    <row r="208" spans="1:38" s="107" customFormat="1">
      <c r="A208" s="97">
        <v>197</v>
      </c>
      <c r="B208" s="123" t="s">
        <v>875</v>
      </c>
      <c r="C208" s="98">
        <v>2007</v>
      </c>
      <c r="D208" s="123" t="s">
        <v>928</v>
      </c>
      <c r="E208" s="99" t="s">
        <v>20</v>
      </c>
      <c r="F208" s="98">
        <v>2003</v>
      </c>
      <c r="G208" s="98" t="s">
        <v>326</v>
      </c>
      <c r="H208" s="98" t="s">
        <v>159</v>
      </c>
      <c r="I208" s="98"/>
      <c r="J208" s="174" t="s">
        <v>1013</v>
      </c>
      <c r="K208" s="98" t="s">
        <v>1111</v>
      </c>
      <c r="L208" s="98" t="s">
        <v>315</v>
      </c>
      <c r="M208" s="98"/>
      <c r="N208" s="98"/>
      <c r="O208" s="98" t="s">
        <v>930</v>
      </c>
      <c r="P208" s="98">
        <v>0.98</v>
      </c>
      <c r="Q208" s="98"/>
      <c r="R208" s="98">
        <f>+P208</f>
        <v>0.98</v>
      </c>
      <c r="S208" s="98">
        <v>0.99</v>
      </c>
      <c r="T208" s="98"/>
      <c r="U208" s="98">
        <f>+S208</f>
        <v>0.99</v>
      </c>
      <c r="V208" s="98">
        <v>1763.1</v>
      </c>
      <c r="W208" s="98"/>
      <c r="X208" s="101">
        <f t="shared" si="12"/>
        <v>0.98</v>
      </c>
      <c r="Y208" s="111">
        <f>+V208</f>
        <v>1763.1</v>
      </c>
      <c r="Z208" s="106" t="str">
        <f t="shared" si="14"/>
        <v>F</v>
      </c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</row>
    <row r="209" spans="1:38" s="107" customFormat="1">
      <c r="A209" s="97"/>
      <c r="B209" s="258" t="s">
        <v>1276</v>
      </c>
      <c r="C209" s="259">
        <v>1989</v>
      </c>
      <c r="D209" s="101"/>
      <c r="E209" s="103" t="s">
        <v>49</v>
      </c>
      <c r="F209" s="98"/>
      <c r="G209" s="98"/>
      <c r="H209" s="98"/>
      <c r="I209" s="98"/>
      <c r="J209" s="292" t="s">
        <v>1013</v>
      </c>
      <c r="K209" s="292" t="s">
        <v>1002</v>
      </c>
      <c r="L209" s="98"/>
      <c r="M209" s="98"/>
      <c r="N209" s="98"/>
      <c r="O209" s="107" t="s">
        <v>1233</v>
      </c>
      <c r="P209" s="98"/>
      <c r="Q209" s="98"/>
      <c r="R209" s="107">
        <v>0.97199999999999998</v>
      </c>
      <c r="S209" s="98"/>
      <c r="T209" s="98"/>
      <c r="U209" s="98"/>
      <c r="V209" s="98"/>
      <c r="W209" s="98"/>
      <c r="X209" s="101">
        <f t="shared" si="12"/>
        <v>0.97199999999999998</v>
      </c>
      <c r="Y209" s="107">
        <v>1781</v>
      </c>
      <c r="Z209" s="106" t="str">
        <f t="shared" si="14"/>
        <v>F</v>
      </c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</row>
    <row r="210" spans="1:38" s="107" customFormat="1">
      <c r="A210" s="97">
        <v>197</v>
      </c>
      <c r="B210" s="123" t="s">
        <v>875</v>
      </c>
      <c r="C210" s="98">
        <v>2007</v>
      </c>
      <c r="D210" s="123" t="s">
        <v>928</v>
      </c>
      <c r="E210" s="99" t="s">
        <v>20</v>
      </c>
      <c r="F210" s="98">
        <v>2003</v>
      </c>
      <c r="G210" s="98" t="s">
        <v>326</v>
      </c>
      <c r="H210" s="98" t="s">
        <v>159</v>
      </c>
      <c r="I210" s="98"/>
      <c r="J210" s="174" t="s">
        <v>1013</v>
      </c>
      <c r="K210" s="98" t="s">
        <v>1069</v>
      </c>
      <c r="L210" s="98" t="s">
        <v>403</v>
      </c>
      <c r="M210" s="98"/>
      <c r="N210" s="98"/>
      <c r="O210" s="98" t="s">
        <v>931</v>
      </c>
      <c r="P210" s="98">
        <v>0.97</v>
      </c>
      <c r="Q210" s="98"/>
      <c r="R210" s="98">
        <f>+P210</f>
        <v>0.97</v>
      </c>
      <c r="S210" s="98">
        <v>0.98</v>
      </c>
      <c r="T210" s="98"/>
      <c r="U210" s="98">
        <f>+S210</f>
        <v>0.98</v>
      </c>
      <c r="V210" s="98">
        <v>1781.9</v>
      </c>
      <c r="W210" s="98"/>
      <c r="X210" s="101">
        <f t="shared" si="12"/>
        <v>0.97</v>
      </c>
      <c r="Y210" s="111">
        <f>+V210</f>
        <v>1781.9</v>
      </c>
      <c r="Z210" s="106" t="str">
        <f t="shared" si="14"/>
        <v>F</v>
      </c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</row>
    <row r="211" spans="1:38" s="107" customFormat="1">
      <c r="A211" s="97">
        <v>118</v>
      </c>
      <c r="B211" s="123" t="s">
        <v>399</v>
      </c>
      <c r="C211" s="98">
        <v>1999</v>
      </c>
      <c r="D211" s="123" t="s">
        <v>400</v>
      </c>
      <c r="E211" s="99" t="s">
        <v>20</v>
      </c>
      <c r="F211" s="98">
        <v>1999</v>
      </c>
      <c r="G211" s="98" t="s">
        <v>326</v>
      </c>
      <c r="H211" s="98" t="s">
        <v>159</v>
      </c>
      <c r="I211" s="98"/>
      <c r="J211" s="101" t="s">
        <v>1013</v>
      </c>
      <c r="K211" s="98" t="s">
        <v>1056</v>
      </c>
      <c r="L211" s="98" t="s">
        <v>403</v>
      </c>
      <c r="M211" s="98"/>
      <c r="N211" s="98"/>
      <c r="O211" s="98">
        <v>1</v>
      </c>
      <c r="P211" s="98"/>
      <c r="Q211" s="98"/>
      <c r="R211" s="98"/>
      <c r="S211" s="98"/>
      <c r="T211" s="98"/>
      <c r="U211" s="98">
        <v>0.97</v>
      </c>
      <c r="V211" s="98"/>
      <c r="W211" s="98"/>
      <c r="X211" s="101">
        <f t="shared" si="12"/>
        <v>0.97</v>
      </c>
      <c r="Y211" s="111">
        <v>1918.8</v>
      </c>
      <c r="Z211" s="106" t="str">
        <f t="shared" si="14"/>
        <v>F</v>
      </c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</row>
    <row r="212" spans="1:38" s="107" customFormat="1">
      <c r="A212" s="97">
        <v>101</v>
      </c>
      <c r="B212" s="123" t="s">
        <v>298</v>
      </c>
      <c r="C212" s="98">
        <v>1994</v>
      </c>
      <c r="D212" s="123" t="s">
        <v>299</v>
      </c>
      <c r="E212" s="99" t="s">
        <v>172</v>
      </c>
      <c r="F212" s="98">
        <v>1994</v>
      </c>
      <c r="G212" s="98" t="s">
        <v>301</v>
      </c>
      <c r="H212" s="98" t="s">
        <v>302</v>
      </c>
      <c r="I212" s="98" t="s">
        <v>1014</v>
      </c>
      <c r="J212" s="98" t="s">
        <v>1013</v>
      </c>
      <c r="K212" s="98"/>
      <c r="L212" s="98" t="s">
        <v>303</v>
      </c>
      <c r="M212" s="98"/>
      <c r="N212" s="98"/>
      <c r="O212" s="98" t="s">
        <v>310</v>
      </c>
      <c r="P212" s="98"/>
      <c r="Q212" s="98"/>
      <c r="R212" s="98"/>
      <c r="S212" s="98"/>
      <c r="T212" s="98"/>
      <c r="U212" s="98">
        <v>0.97</v>
      </c>
      <c r="V212" s="98"/>
      <c r="W212" s="98"/>
      <c r="X212" s="101">
        <f t="shared" si="12"/>
        <v>0.97</v>
      </c>
      <c r="Y212" s="111">
        <v>1771</v>
      </c>
      <c r="Z212" s="106" t="str">
        <f t="shared" si="14"/>
        <v>F</v>
      </c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</row>
    <row r="213" spans="1:38" s="107" customFormat="1">
      <c r="A213" s="97">
        <v>101</v>
      </c>
      <c r="B213" s="123" t="s">
        <v>298</v>
      </c>
      <c r="C213" s="98">
        <v>1994</v>
      </c>
      <c r="D213" s="123" t="s">
        <v>299</v>
      </c>
      <c r="E213" s="99" t="s">
        <v>172</v>
      </c>
      <c r="F213" s="98">
        <v>1994</v>
      </c>
      <c r="G213" s="98" t="s">
        <v>301</v>
      </c>
      <c r="H213" s="98" t="s">
        <v>302</v>
      </c>
      <c r="I213" s="98" t="s">
        <v>1014</v>
      </c>
      <c r="J213" s="98" t="s">
        <v>1013</v>
      </c>
      <c r="K213" s="98"/>
      <c r="L213" s="98" t="s">
        <v>303</v>
      </c>
      <c r="M213" s="98"/>
      <c r="N213" s="98"/>
      <c r="O213" s="98" t="s">
        <v>307</v>
      </c>
      <c r="P213" s="98"/>
      <c r="Q213" s="98"/>
      <c r="R213" s="98"/>
      <c r="S213" s="98"/>
      <c r="T213" s="98"/>
      <c r="U213" s="98">
        <v>0.96</v>
      </c>
      <c r="V213" s="98"/>
      <c r="W213" s="98"/>
      <c r="X213" s="101">
        <f t="shared" si="12"/>
        <v>0.96</v>
      </c>
      <c r="Y213" s="111">
        <v>1751</v>
      </c>
      <c r="Z213" s="106" t="str">
        <f t="shared" si="14"/>
        <v>F</v>
      </c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</row>
    <row r="214" spans="1:38" s="107" customFormat="1">
      <c r="A214" s="97">
        <v>172</v>
      </c>
      <c r="B214" s="98" t="s">
        <v>585</v>
      </c>
      <c r="C214" s="98">
        <v>2010</v>
      </c>
      <c r="D214" s="98" t="s">
        <v>586</v>
      </c>
      <c r="E214" s="99" t="s">
        <v>589</v>
      </c>
      <c r="F214" s="100">
        <v>40235</v>
      </c>
      <c r="G214" s="98" t="s">
        <v>631</v>
      </c>
      <c r="H214" s="98" t="s">
        <v>159</v>
      </c>
      <c r="I214" s="98"/>
      <c r="J214" s="101" t="s">
        <v>1013</v>
      </c>
      <c r="K214" s="98" t="s">
        <v>1069</v>
      </c>
      <c r="L214" s="98" t="s">
        <v>634</v>
      </c>
      <c r="M214" s="109" t="s">
        <v>635</v>
      </c>
      <c r="N214" s="109"/>
      <c r="O214" s="98"/>
      <c r="P214" s="103"/>
      <c r="Q214" s="103"/>
      <c r="R214" s="98"/>
      <c r="S214" s="98"/>
      <c r="T214" s="98"/>
      <c r="U214" s="104">
        <v>0.95899999999999996</v>
      </c>
      <c r="V214" s="175"/>
      <c r="W214" s="175"/>
      <c r="X214" s="101">
        <f t="shared" si="12"/>
        <v>0.95899999999999996</v>
      </c>
      <c r="Y214" s="221">
        <v>1856</v>
      </c>
      <c r="Z214" s="106" t="str">
        <f t="shared" si="14"/>
        <v>F</v>
      </c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</row>
    <row r="215" spans="1:38" s="107" customFormat="1">
      <c r="A215" s="97"/>
      <c r="B215" s="258" t="s">
        <v>1276</v>
      </c>
      <c r="C215" s="259">
        <v>1989</v>
      </c>
      <c r="D215" s="101"/>
      <c r="E215" s="103" t="s">
        <v>49</v>
      </c>
      <c r="F215" s="98"/>
      <c r="G215" s="98"/>
      <c r="H215" s="98"/>
      <c r="I215" s="98"/>
      <c r="J215" s="292" t="s">
        <v>1013</v>
      </c>
      <c r="K215" s="292" t="s">
        <v>1256</v>
      </c>
      <c r="L215" s="98"/>
      <c r="M215" s="98"/>
      <c r="N215" s="98"/>
      <c r="O215" s="107" t="s">
        <v>1268</v>
      </c>
      <c r="P215" s="98"/>
      <c r="Q215" s="98"/>
      <c r="R215" s="107">
        <v>0.95099999999999996</v>
      </c>
      <c r="S215" s="98"/>
      <c r="T215" s="98"/>
      <c r="U215" s="98"/>
      <c r="V215" s="98"/>
      <c r="W215" s="98"/>
      <c r="X215" s="101">
        <f t="shared" si="12"/>
        <v>0.95099999999999996</v>
      </c>
      <c r="Y215" s="107">
        <v>1745</v>
      </c>
      <c r="Z215" s="106" t="str">
        <f t="shared" si="14"/>
        <v>F</v>
      </c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</row>
    <row r="216" spans="1:38" s="107" customFormat="1">
      <c r="A216" s="97">
        <v>118</v>
      </c>
      <c r="B216" s="123" t="s">
        <v>399</v>
      </c>
      <c r="C216" s="98">
        <v>1999</v>
      </c>
      <c r="D216" s="123" t="s">
        <v>400</v>
      </c>
      <c r="E216" s="99" t="s">
        <v>20</v>
      </c>
      <c r="F216" s="98">
        <v>1999</v>
      </c>
      <c r="G216" s="98" t="s">
        <v>326</v>
      </c>
      <c r="H216" s="98" t="s">
        <v>159</v>
      </c>
      <c r="I216" s="98"/>
      <c r="J216" s="101" t="s">
        <v>1013</v>
      </c>
      <c r="K216" s="98" t="s">
        <v>1054</v>
      </c>
      <c r="L216" s="98" t="s">
        <v>405</v>
      </c>
      <c r="M216" s="98"/>
      <c r="N216" s="98"/>
      <c r="O216" s="98">
        <v>3</v>
      </c>
      <c r="P216" s="98"/>
      <c r="Q216" s="98"/>
      <c r="R216" s="98"/>
      <c r="S216" s="98"/>
      <c r="T216" s="98"/>
      <c r="U216" s="98">
        <v>0.95</v>
      </c>
      <c r="V216" s="98"/>
      <c r="W216" s="98"/>
      <c r="X216" s="101">
        <f t="shared" si="12"/>
        <v>0.95</v>
      </c>
      <c r="Y216" s="111">
        <v>1764.9</v>
      </c>
      <c r="Z216" s="106" t="str">
        <f t="shared" si="14"/>
        <v>F</v>
      </c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</row>
    <row r="217" spans="1:38" s="107" customFormat="1">
      <c r="A217" s="97">
        <v>101</v>
      </c>
      <c r="B217" s="123" t="s">
        <v>298</v>
      </c>
      <c r="C217" s="98">
        <v>1994</v>
      </c>
      <c r="D217" s="123" t="s">
        <v>299</v>
      </c>
      <c r="E217" s="99" t="s">
        <v>172</v>
      </c>
      <c r="F217" s="98">
        <v>1994</v>
      </c>
      <c r="G217" s="98" t="s">
        <v>301</v>
      </c>
      <c r="H217" s="98" t="s">
        <v>302</v>
      </c>
      <c r="I217" s="98" t="s">
        <v>1014</v>
      </c>
      <c r="J217" s="98" t="s">
        <v>1013</v>
      </c>
      <c r="K217" s="98"/>
      <c r="L217" s="98" t="s">
        <v>303</v>
      </c>
      <c r="M217" s="98"/>
      <c r="N217" s="98"/>
      <c r="O217" s="98" t="s">
        <v>305</v>
      </c>
      <c r="P217" s="98"/>
      <c r="Q217" s="98"/>
      <c r="R217" s="98"/>
      <c r="S217" s="98"/>
      <c r="T217" s="98"/>
      <c r="U217" s="98">
        <v>0.95</v>
      </c>
      <c r="V217" s="98"/>
      <c r="W217" s="98"/>
      <c r="X217" s="101">
        <f t="shared" si="12"/>
        <v>0.95</v>
      </c>
      <c r="Y217" s="111">
        <v>1731</v>
      </c>
      <c r="Z217" s="106" t="str">
        <f t="shared" si="14"/>
        <v>F</v>
      </c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  <c r="AL217" s="174"/>
    </row>
    <row r="218" spans="1:38" s="107" customFormat="1">
      <c r="A218" s="97"/>
      <c r="B218" s="258" t="s">
        <v>1276</v>
      </c>
      <c r="C218" s="259">
        <v>1989</v>
      </c>
      <c r="D218" s="101"/>
      <c r="E218" s="103" t="s">
        <v>49</v>
      </c>
      <c r="F218" s="98"/>
      <c r="G218" s="98"/>
      <c r="H218" s="98"/>
      <c r="I218" s="98"/>
      <c r="J218" s="292" t="s">
        <v>1013</v>
      </c>
      <c r="K218" s="292" t="s">
        <v>1002</v>
      </c>
      <c r="L218" s="98"/>
      <c r="M218" s="98"/>
      <c r="N218" s="98"/>
      <c r="O218" s="107" t="s">
        <v>1232</v>
      </c>
      <c r="P218" s="98"/>
      <c r="Q218" s="98"/>
      <c r="R218" s="107">
        <v>0.94899999999999995</v>
      </c>
      <c r="S218" s="98"/>
      <c r="T218" s="98"/>
      <c r="U218" s="98"/>
      <c r="V218" s="98"/>
      <c r="W218" s="98"/>
      <c r="X218" s="101">
        <f t="shared" si="12"/>
        <v>0.94899999999999995</v>
      </c>
      <c r="Y218" s="107">
        <v>1739</v>
      </c>
      <c r="Z218" s="106" t="str">
        <f t="shared" si="14"/>
        <v>F</v>
      </c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</row>
    <row r="219" spans="1:38" s="107" customFormat="1">
      <c r="A219" s="97">
        <v>181</v>
      </c>
      <c r="B219" s="98" t="s">
        <v>766</v>
      </c>
      <c r="C219" s="98">
        <v>2009</v>
      </c>
      <c r="D219" s="112" t="s">
        <v>767</v>
      </c>
      <c r="E219" s="113" t="s">
        <v>49</v>
      </c>
      <c r="F219" s="98"/>
      <c r="G219" s="98" t="s">
        <v>777</v>
      </c>
      <c r="H219" s="115" t="s">
        <v>581</v>
      </c>
      <c r="I219" s="115"/>
      <c r="J219" s="115" t="s">
        <v>1013</v>
      </c>
      <c r="K219" s="115" t="s">
        <v>1096</v>
      </c>
      <c r="L219" s="114" t="s">
        <v>775</v>
      </c>
      <c r="M219" s="114" t="s">
        <v>164</v>
      </c>
      <c r="N219" s="114"/>
      <c r="O219" s="114" t="s">
        <v>868</v>
      </c>
      <c r="P219" s="114"/>
      <c r="Q219" s="114"/>
      <c r="R219" s="98"/>
      <c r="S219" s="98"/>
      <c r="T219" s="98"/>
      <c r="U219" s="129">
        <v>0.94840097300000004</v>
      </c>
      <c r="V219" s="129"/>
      <c r="W219" s="129"/>
      <c r="X219" s="101">
        <f t="shared" si="12"/>
        <v>0.94840097300000004</v>
      </c>
      <c r="Y219" s="222">
        <v>1716.515762</v>
      </c>
      <c r="Z219" s="106" t="str">
        <f t="shared" si="14"/>
        <v>F</v>
      </c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  <c r="AL219" s="174"/>
    </row>
    <row r="220" spans="1:38" s="107" customFormat="1">
      <c r="A220" s="97"/>
      <c r="B220" s="258" t="s">
        <v>1276</v>
      </c>
      <c r="C220" s="259">
        <v>1989</v>
      </c>
      <c r="D220" s="101"/>
      <c r="E220" s="103" t="s">
        <v>49</v>
      </c>
      <c r="F220" s="98"/>
      <c r="G220" s="98"/>
      <c r="H220" s="98"/>
      <c r="I220" s="98"/>
      <c r="J220" s="292" t="s">
        <v>1013</v>
      </c>
      <c r="K220" s="292" t="s">
        <v>1256</v>
      </c>
      <c r="L220" s="98"/>
      <c r="M220" s="98"/>
      <c r="N220" s="98"/>
      <c r="O220" s="107" t="s">
        <v>1269</v>
      </c>
      <c r="P220" s="98"/>
      <c r="Q220" s="98"/>
      <c r="R220" s="107">
        <v>0.94699999999999995</v>
      </c>
      <c r="S220" s="98"/>
      <c r="T220" s="98"/>
      <c r="U220" s="98"/>
      <c r="V220" s="98"/>
      <c r="W220" s="98"/>
      <c r="X220" s="101">
        <f t="shared" si="12"/>
        <v>0.94699999999999995</v>
      </c>
      <c r="Y220" s="107">
        <v>1739</v>
      </c>
      <c r="Z220" s="106" t="str">
        <f t="shared" si="14"/>
        <v>F</v>
      </c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</row>
    <row r="221" spans="1:38" s="107" customFormat="1">
      <c r="A221" s="97">
        <v>181</v>
      </c>
      <c r="B221" s="98" t="s">
        <v>766</v>
      </c>
      <c r="C221" s="98">
        <v>2009</v>
      </c>
      <c r="D221" s="112" t="s">
        <v>767</v>
      </c>
      <c r="E221" s="113" t="s">
        <v>49</v>
      </c>
      <c r="F221" s="114" t="s">
        <v>841</v>
      </c>
      <c r="G221" s="98" t="s">
        <v>842</v>
      </c>
      <c r="H221" s="115" t="s">
        <v>790</v>
      </c>
      <c r="I221" s="115"/>
      <c r="J221" s="108" t="s">
        <v>1013</v>
      </c>
      <c r="K221" s="108" t="s">
        <v>1096</v>
      </c>
      <c r="L221" s="114" t="s">
        <v>782</v>
      </c>
      <c r="M221" s="114" t="s">
        <v>843</v>
      </c>
      <c r="N221" s="114"/>
      <c r="O221" s="114" t="s">
        <v>844</v>
      </c>
      <c r="P221" s="114"/>
      <c r="Q221" s="114"/>
      <c r="R221" s="98"/>
      <c r="S221" s="98"/>
      <c r="T221" s="98"/>
      <c r="U221" s="114">
        <v>0.94199999999999995</v>
      </c>
      <c r="V221" s="114"/>
      <c r="W221" s="114"/>
      <c r="X221" s="101">
        <f t="shared" si="12"/>
        <v>0.94199999999999995</v>
      </c>
      <c r="Y221" s="222">
        <v>1692.932292</v>
      </c>
      <c r="Z221" s="106" t="str">
        <f t="shared" si="14"/>
        <v>F</v>
      </c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</row>
    <row r="222" spans="1:38" s="107" customFormat="1">
      <c r="A222" s="97"/>
      <c r="B222" s="258" t="s">
        <v>1276</v>
      </c>
      <c r="C222" s="259">
        <v>1989</v>
      </c>
      <c r="D222" s="101"/>
      <c r="E222" s="103" t="s">
        <v>49</v>
      </c>
      <c r="F222" s="98"/>
      <c r="G222" s="98"/>
      <c r="H222" s="98"/>
      <c r="I222" s="98"/>
      <c r="J222" s="292" t="s">
        <v>1013</v>
      </c>
      <c r="K222" s="292" t="s">
        <v>1257</v>
      </c>
      <c r="L222" s="98"/>
      <c r="M222" s="98"/>
      <c r="N222" s="98"/>
      <c r="O222" s="107" t="s">
        <v>1260</v>
      </c>
      <c r="P222" s="98"/>
      <c r="Q222" s="98"/>
      <c r="R222" s="107">
        <v>0.94099999999999995</v>
      </c>
      <c r="S222" s="98"/>
      <c r="T222" s="98"/>
      <c r="U222" s="98"/>
      <c r="V222" s="98"/>
      <c r="W222" s="98"/>
      <c r="X222" s="101">
        <f t="shared" si="12"/>
        <v>0.94099999999999995</v>
      </c>
      <c r="Y222" s="107">
        <v>1727</v>
      </c>
      <c r="Z222" s="106" t="str">
        <f t="shared" si="14"/>
        <v>F</v>
      </c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</row>
    <row r="223" spans="1:38" s="107" customFormat="1">
      <c r="A223" s="97"/>
      <c r="B223" s="258" t="s">
        <v>1276</v>
      </c>
      <c r="C223" s="259">
        <v>1989</v>
      </c>
      <c r="D223" s="101"/>
      <c r="E223" s="103" t="s">
        <v>49</v>
      </c>
      <c r="F223" s="98"/>
      <c r="G223" s="98"/>
      <c r="H223" s="98"/>
      <c r="I223" s="98"/>
      <c r="J223" s="292" t="s">
        <v>1013</v>
      </c>
      <c r="K223" s="292" t="s">
        <v>1002</v>
      </c>
      <c r="L223" s="98"/>
      <c r="M223" s="98"/>
      <c r="N223" s="98"/>
      <c r="O223" s="107" t="s">
        <v>1230</v>
      </c>
      <c r="P223" s="98"/>
      <c r="Q223" s="98"/>
      <c r="R223" s="107">
        <v>0.94</v>
      </c>
      <c r="S223" s="98"/>
      <c r="T223" s="98"/>
      <c r="U223" s="98"/>
      <c r="V223" s="98"/>
      <c r="W223" s="98"/>
      <c r="X223" s="101">
        <f t="shared" si="12"/>
        <v>0.94</v>
      </c>
      <c r="Y223" s="107">
        <v>1720</v>
      </c>
      <c r="Z223" s="106" t="str">
        <f t="shared" si="14"/>
        <v>F</v>
      </c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174"/>
      <c r="AL223" s="174"/>
    </row>
    <row r="224" spans="1:38" s="107" customFormat="1">
      <c r="A224" s="97">
        <v>46</v>
      </c>
      <c r="B224" s="103" t="s">
        <v>45</v>
      </c>
      <c r="C224" s="103">
        <v>1984</v>
      </c>
      <c r="D224" s="103" t="s">
        <v>113</v>
      </c>
      <c r="E224" s="99" t="s">
        <v>49</v>
      </c>
      <c r="F224" s="98">
        <v>1983</v>
      </c>
      <c r="G224" s="98" t="s">
        <v>116</v>
      </c>
      <c r="H224" s="98" t="s">
        <v>95</v>
      </c>
      <c r="I224" s="98"/>
      <c r="J224" s="98" t="s">
        <v>1013</v>
      </c>
      <c r="K224" s="98" t="s">
        <v>1134</v>
      </c>
      <c r="L224" s="98" t="s">
        <v>117</v>
      </c>
      <c r="M224" s="98"/>
      <c r="N224" s="98"/>
      <c r="O224" s="98" t="s">
        <v>134</v>
      </c>
      <c r="P224" s="98"/>
      <c r="Q224" s="98"/>
      <c r="R224" s="98">
        <v>0.94</v>
      </c>
      <c r="S224" s="98"/>
      <c r="T224" s="98"/>
      <c r="U224" s="98"/>
      <c r="V224" s="98"/>
      <c r="W224" s="98"/>
      <c r="X224" s="101">
        <f t="shared" si="12"/>
        <v>0.94</v>
      </c>
      <c r="Y224" s="111">
        <v>1720</v>
      </c>
      <c r="Z224" s="106" t="str">
        <f t="shared" si="14"/>
        <v>F</v>
      </c>
      <c r="AA224" s="174"/>
      <c r="AB224" s="174"/>
      <c r="AC224" s="174"/>
      <c r="AD224" s="174"/>
      <c r="AE224" s="174"/>
      <c r="AF224" s="174"/>
      <c r="AG224" s="174"/>
      <c r="AH224" s="174"/>
      <c r="AI224" s="174"/>
      <c r="AJ224" s="174"/>
      <c r="AK224" s="174"/>
      <c r="AL224" s="174"/>
    </row>
    <row r="225" spans="1:38" s="107" customFormat="1">
      <c r="A225" s="97">
        <v>101</v>
      </c>
      <c r="B225" s="123" t="s">
        <v>298</v>
      </c>
      <c r="C225" s="98">
        <v>1994</v>
      </c>
      <c r="D225" s="123" t="s">
        <v>299</v>
      </c>
      <c r="E225" s="99" t="s">
        <v>172</v>
      </c>
      <c r="F225" s="98">
        <v>1994</v>
      </c>
      <c r="G225" s="98" t="s">
        <v>301</v>
      </c>
      <c r="H225" s="98" t="s">
        <v>302</v>
      </c>
      <c r="I225" s="98" t="s">
        <v>1014</v>
      </c>
      <c r="J225" s="98" t="s">
        <v>1013</v>
      </c>
      <c r="K225" s="98"/>
      <c r="L225" s="98" t="s">
        <v>303</v>
      </c>
      <c r="M225" s="98"/>
      <c r="N225" s="98"/>
      <c r="O225" s="98" t="s">
        <v>304</v>
      </c>
      <c r="P225" s="98"/>
      <c r="Q225" s="98"/>
      <c r="R225" s="98"/>
      <c r="S225" s="98"/>
      <c r="T225" s="98"/>
      <c r="U225" s="98">
        <v>0.94</v>
      </c>
      <c r="V225" s="98"/>
      <c r="W225" s="98"/>
      <c r="X225" s="101">
        <f t="shared" si="12"/>
        <v>0.94</v>
      </c>
      <c r="Y225" s="111">
        <v>1686</v>
      </c>
      <c r="Z225" s="106" t="str">
        <f t="shared" si="14"/>
        <v>F</v>
      </c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74"/>
      <c r="AK225" s="174"/>
      <c r="AL225" s="174"/>
    </row>
    <row r="226" spans="1:38" s="107" customFormat="1">
      <c r="A226" s="97">
        <v>101</v>
      </c>
      <c r="B226" s="123" t="s">
        <v>298</v>
      </c>
      <c r="C226" s="98">
        <v>1994</v>
      </c>
      <c r="D226" s="123" t="s">
        <v>299</v>
      </c>
      <c r="E226" s="99" t="s">
        <v>172</v>
      </c>
      <c r="F226" s="98">
        <v>1994</v>
      </c>
      <c r="G226" s="98" t="s">
        <v>301</v>
      </c>
      <c r="H226" s="98" t="s">
        <v>302</v>
      </c>
      <c r="I226" s="98" t="s">
        <v>1014</v>
      </c>
      <c r="J226" s="98" t="s">
        <v>1013</v>
      </c>
      <c r="K226" s="98"/>
      <c r="L226" s="98" t="s">
        <v>303</v>
      </c>
      <c r="M226" s="98"/>
      <c r="N226" s="98"/>
      <c r="O226" s="98" t="s">
        <v>308</v>
      </c>
      <c r="P226" s="98"/>
      <c r="Q226" s="98"/>
      <c r="R226" s="98"/>
      <c r="S226" s="98"/>
      <c r="T226" s="98"/>
      <c r="U226" s="98">
        <v>0.94</v>
      </c>
      <c r="V226" s="98"/>
      <c r="W226" s="98"/>
      <c r="X226" s="101">
        <f t="shared" si="12"/>
        <v>0.94</v>
      </c>
      <c r="Y226" s="111">
        <v>1706</v>
      </c>
      <c r="Z226" s="106" t="str">
        <f t="shared" si="14"/>
        <v>F</v>
      </c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</row>
    <row r="227" spans="1:38" s="107" customFormat="1">
      <c r="A227" s="97">
        <v>101</v>
      </c>
      <c r="B227" s="123" t="s">
        <v>298</v>
      </c>
      <c r="C227" s="98">
        <v>1994</v>
      </c>
      <c r="D227" s="123" t="s">
        <v>299</v>
      </c>
      <c r="E227" s="99" t="s">
        <v>172</v>
      </c>
      <c r="F227" s="98">
        <v>1994</v>
      </c>
      <c r="G227" s="98" t="s">
        <v>301</v>
      </c>
      <c r="H227" s="98" t="s">
        <v>302</v>
      </c>
      <c r="I227" s="98" t="s">
        <v>1014</v>
      </c>
      <c r="J227" s="98" t="s">
        <v>1013</v>
      </c>
      <c r="K227" s="98"/>
      <c r="L227" s="98" t="s">
        <v>303</v>
      </c>
      <c r="M227" s="98"/>
      <c r="N227" s="98"/>
      <c r="O227" s="98" t="s">
        <v>306</v>
      </c>
      <c r="P227" s="98"/>
      <c r="Q227" s="98"/>
      <c r="R227" s="98"/>
      <c r="S227" s="98"/>
      <c r="T227" s="98"/>
      <c r="U227" s="98">
        <v>0.94</v>
      </c>
      <c r="V227" s="98"/>
      <c r="W227" s="98"/>
      <c r="X227" s="101">
        <f t="shared" si="12"/>
        <v>0.94</v>
      </c>
      <c r="Y227" s="111">
        <v>1714</v>
      </c>
      <c r="Z227" s="106" t="str">
        <f t="shared" si="14"/>
        <v>F</v>
      </c>
      <c r="AA227" s="174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174"/>
      <c r="AL227" s="174"/>
    </row>
    <row r="228" spans="1:38" s="107" customFormat="1">
      <c r="A228" s="97">
        <v>181</v>
      </c>
      <c r="B228" s="98" t="s">
        <v>766</v>
      </c>
      <c r="C228" s="98">
        <v>2009</v>
      </c>
      <c r="D228" s="112" t="s">
        <v>767</v>
      </c>
      <c r="E228" s="113" t="s">
        <v>49</v>
      </c>
      <c r="F228" s="114" t="s">
        <v>814</v>
      </c>
      <c r="G228" s="98" t="s">
        <v>774</v>
      </c>
      <c r="H228" s="115" t="s">
        <v>581</v>
      </c>
      <c r="I228" s="115"/>
      <c r="J228" s="115" t="s">
        <v>1013</v>
      </c>
      <c r="K228" s="115" t="s">
        <v>1096</v>
      </c>
      <c r="L228" s="114" t="s">
        <v>775</v>
      </c>
      <c r="M228" s="114" t="s">
        <v>164</v>
      </c>
      <c r="N228" s="114"/>
      <c r="O228" s="114" t="s">
        <v>815</v>
      </c>
      <c r="P228" s="114"/>
      <c r="Q228" s="114"/>
      <c r="R228" s="98"/>
      <c r="S228" s="98"/>
      <c r="T228" s="98"/>
      <c r="U228" s="129">
        <v>0.93836761499999999</v>
      </c>
      <c r="V228" s="129"/>
      <c r="W228" s="129"/>
      <c r="X228" s="101">
        <f t="shared" si="12"/>
        <v>0.93836761499999999</v>
      </c>
      <c r="Y228" s="222">
        <v>1677.6704569999999</v>
      </c>
      <c r="Z228" s="106" t="str">
        <f t="shared" si="14"/>
        <v>F</v>
      </c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/>
    </row>
    <row r="229" spans="1:38" s="107" customFormat="1">
      <c r="A229" s="97"/>
      <c r="B229" s="258" t="s">
        <v>1276</v>
      </c>
      <c r="C229" s="259">
        <v>1989</v>
      </c>
      <c r="D229" s="101"/>
      <c r="E229" s="103" t="s">
        <v>49</v>
      </c>
      <c r="F229" s="98"/>
      <c r="G229" s="98"/>
      <c r="H229" s="98"/>
      <c r="I229" s="98"/>
      <c r="J229" s="292" t="s">
        <v>1013</v>
      </c>
      <c r="K229" s="292" t="s">
        <v>1002</v>
      </c>
      <c r="L229" s="98"/>
      <c r="M229" s="98"/>
      <c r="N229" s="98"/>
      <c r="O229" s="107" t="s">
        <v>1234</v>
      </c>
      <c r="P229" s="98"/>
      <c r="Q229" s="98"/>
      <c r="R229" s="107">
        <v>0.93600000000000005</v>
      </c>
      <c r="S229" s="98"/>
      <c r="T229" s="98"/>
      <c r="U229" s="98"/>
      <c r="V229" s="98"/>
      <c r="W229" s="98"/>
      <c r="X229" s="101">
        <f t="shared" si="12"/>
        <v>0.93600000000000005</v>
      </c>
      <c r="Y229" s="107">
        <v>1716</v>
      </c>
      <c r="Z229" s="106" t="str">
        <f t="shared" si="14"/>
        <v>F</v>
      </c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  <c r="AL229" s="174"/>
    </row>
    <row r="230" spans="1:38" s="107" customFormat="1">
      <c r="A230" s="97"/>
      <c r="B230" s="258" t="s">
        <v>1276</v>
      </c>
      <c r="C230" s="259">
        <v>1989</v>
      </c>
      <c r="D230" s="101"/>
      <c r="E230" s="103" t="s">
        <v>49</v>
      </c>
      <c r="F230" s="98"/>
      <c r="G230" s="98"/>
      <c r="H230" s="98"/>
      <c r="I230" s="98"/>
      <c r="J230" s="292" t="s">
        <v>1013</v>
      </c>
      <c r="K230" s="292" t="s">
        <v>1002</v>
      </c>
      <c r="L230" s="98"/>
      <c r="M230" s="98"/>
      <c r="N230" s="98"/>
      <c r="O230" s="107" t="s">
        <v>1254</v>
      </c>
      <c r="P230" s="98"/>
      <c r="Q230" s="98"/>
      <c r="R230" s="107">
        <v>0.93500000000000005</v>
      </c>
      <c r="S230" s="98"/>
      <c r="T230" s="98"/>
      <c r="U230" s="98"/>
      <c r="V230" s="98"/>
      <c r="W230" s="98"/>
      <c r="X230" s="101">
        <f t="shared" si="12"/>
        <v>0.93500000000000005</v>
      </c>
      <c r="Y230" s="107">
        <v>1716</v>
      </c>
      <c r="Z230" s="106" t="str">
        <f t="shared" si="14"/>
        <v>F</v>
      </c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</row>
    <row r="231" spans="1:38" s="107" customFormat="1">
      <c r="A231" s="97">
        <v>172</v>
      </c>
      <c r="B231" s="98" t="s">
        <v>585</v>
      </c>
      <c r="C231" s="98">
        <v>2010</v>
      </c>
      <c r="D231" s="98" t="s">
        <v>586</v>
      </c>
      <c r="E231" s="99" t="s">
        <v>589</v>
      </c>
      <c r="F231" s="100">
        <v>40234</v>
      </c>
      <c r="G231" s="98" t="s">
        <v>631</v>
      </c>
      <c r="H231" s="98" t="s">
        <v>159</v>
      </c>
      <c r="I231" s="98"/>
      <c r="J231" s="101" t="s">
        <v>1013</v>
      </c>
      <c r="K231" s="98" t="s">
        <v>1068</v>
      </c>
      <c r="L231" s="98" t="s">
        <v>632</v>
      </c>
      <c r="M231" s="102" t="s">
        <v>633</v>
      </c>
      <c r="N231" s="102"/>
      <c r="O231" s="98"/>
      <c r="P231" s="103"/>
      <c r="Q231" s="103"/>
      <c r="R231" s="98"/>
      <c r="S231" s="98"/>
      <c r="T231" s="98"/>
      <c r="U231" s="104">
        <v>0.93400000000000005</v>
      </c>
      <c r="V231" s="128"/>
      <c r="W231" s="128"/>
      <c r="X231" s="101">
        <f t="shared" si="12"/>
        <v>0.93400000000000005</v>
      </c>
      <c r="Y231" s="221">
        <v>1785</v>
      </c>
      <c r="Z231" s="106" t="str">
        <f t="shared" si="14"/>
        <v>F</v>
      </c>
      <c r="AA231" s="174"/>
      <c r="AB231" s="174"/>
      <c r="AC231" s="174"/>
      <c r="AD231" s="174"/>
      <c r="AE231" s="174"/>
      <c r="AF231" s="174"/>
      <c r="AG231" s="174"/>
      <c r="AH231" s="174"/>
      <c r="AI231" s="174"/>
      <c r="AJ231" s="174"/>
      <c r="AK231" s="174"/>
      <c r="AL231" s="174"/>
    </row>
    <row r="232" spans="1:38" s="107" customFormat="1">
      <c r="A232" s="97"/>
      <c r="B232" s="258" t="s">
        <v>1276</v>
      </c>
      <c r="C232" s="259">
        <v>1989</v>
      </c>
      <c r="D232" s="101"/>
      <c r="E232" s="103" t="s">
        <v>49</v>
      </c>
      <c r="F232" s="98"/>
      <c r="G232" s="98"/>
      <c r="H232" s="98"/>
      <c r="I232" s="98"/>
      <c r="J232" s="292" t="s">
        <v>1013</v>
      </c>
      <c r="K232" s="292" t="s">
        <v>1002</v>
      </c>
      <c r="L232" s="98"/>
      <c r="M232" s="98"/>
      <c r="N232" s="98"/>
      <c r="O232" s="107" t="s">
        <v>1235</v>
      </c>
      <c r="P232" s="98"/>
      <c r="Q232" s="98"/>
      <c r="R232" s="107">
        <v>0.93300000000000005</v>
      </c>
      <c r="S232" s="98"/>
      <c r="T232" s="98"/>
      <c r="U232" s="98"/>
      <c r="V232" s="98"/>
      <c r="W232" s="98"/>
      <c r="X232" s="101">
        <f t="shared" si="12"/>
        <v>0.93300000000000005</v>
      </c>
      <c r="Y232" s="107">
        <v>1711</v>
      </c>
      <c r="Z232" s="106" t="str">
        <f t="shared" si="14"/>
        <v>F</v>
      </c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4"/>
      <c r="AK232" s="174"/>
      <c r="AL232" s="174"/>
    </row>
    <row r="233" spans="1:38" s="107" customFormat="1">
      <c r="A233" s="97">
        <v>181</v>
      </c>
      <c r="B233" s="98" t="s">
        <v>766</v>
      </c>
      <c r="C233" s="98">
        <v>2009</v>
      </c>
      <c r="D233" s="112" t="s">
        <v>767</v>
      </c>
      <c r="E233" s="113" t="s">
        <v>49</v>
      </c>
      <c r="F233" s="114" t="s">
        <v>773</v>
      </c>
      <c r="G233" s="98" t="s">
        <v>774</v>
      </c>
      <c r="H233" s="115" t="s">
        <v>581</v>
      </c>
      <c r="I233" s="115"/>
      <c r="J233" s="115" t="s">
        <v>1013</v>
      </c>
      <c r="K233" s="115" t="s">
        <v>1096</v>
      </c>
      <c r="L233" s="114" t="s">
        <v>775</v>
      </c>
      <c r="M233" s="114" t="s">
        <v>164</v>
      </c>
      <c r="N233" s="114"/>
      <c r="O233" s="114" t="s">
        <v>826</v>
      </c>
      <c r="P233" s="114"/>
      <c r="Q233" s="114"/>
      <c r="R233" s="98"/>
      <c r="S233" s="98"/>
      <c r="T233" s="98"/>
      <c r="U233" s="129">
        <v>0.93163082699999999</v>
      </c>
      <c r="V233" s="129"/>
      <c r="W233" s="129"/>
      <c r="X233" s="101">
        <f t="shared" si="12"/>
        <v>0.93163082699999999</v>
      </c>
      <c r="Y233" s="222">
        <v>1667.981295</v>
      </c>
      <c r="Z233" s="106" t="str">
        <f t="shared" si="14"/>
        <v>F</v>
      </c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4"/>
      <c r="AK233" s="174"/>
      <c r="AL233" s="174"/>
    </row>
    <row r="234" spans="1:38" s="107" customFormat="1">
      <c r="A234" s="97"/>
      <c r="B234" s="258" t="s">
        <v>1276</v>
      </c>
      <c r="C234" s="259">
        <v>1989</v>
      </c>
      <c r="D234" s="101"/>
      <c r="E234" s="103" t="s">
        <v>49</v>
      </c>
      <c r="F234" s="98"/>
      <c r="G234" s="98"/>
      <c r="H234" s="98"/>
      <c r="I234" s="98"/>
      <c r="J234" s="292" t="s">
        <v>1013</v>
      </c>
      <c r="K234" s="292" t="s">
        <v>1002</v>
      </c>
      <c r="L234" s="98"/>
      <c r="M234" s="98"/>
      <c r="N234" s="98"/>
      <c r="O234" s="107" t="s">
        <v>1231</v>
      </c>
      <c r="P234" s="98"/>
      <c r="Q234" s="98"/>
      <c r="R234" s="107">
        <v>0.93</v>
      </c>
      <c r="S234" s="98"/>
      <c r="T234" s="98"/>
      <c r="U234" s="98"/>
      <c r="V234" s="98"/>
      <c r="W234" s="98"/>
      <c r="X234" s="101">
        <f t="shared" si="12"/>
        <v>0.93</v>
      </c>
      <c r="Y234" s="107">
        <v>1705</v>
      </c>
      <c r="Z234" s="106" t="str">
        <f t="shared" si="14"/>
        <v>F</v>
      </c>
      <c r="AA234" s="174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  <c r="AL234" s="174"/>
    </row>
    <row r="235" spans="1:38" s="107" customFormat="1">
      <c r="A235" s="97">
        <v>203</v>
      </c>
      <c r="B235" s="123" t="s">
        <v>940</v>
      </c>
      <c r="C235" s="98">
        <v>2011</v>
      </c>
      <c r="D235" s="123" t="s">
        <v>941</v>
      </c>
      <c r="E235" s="99" t="s">
        <v>20</v>
      </c>
      <c r="F235" s="98">
        <v>2009</v>
      </c>
      <c r="G235" s="98" t="s">
        <v>326</v>
      </c>
      <c r="H235" s="98"/>
      <c r="I235" s="98"/>
      <c r="J235" s="174" t="s">
        <v>1013</v>
      </c>
      <c r="K235" s="98" t="s">
        <v>1091</v>
      </c>
      <c r="L235" s="98" t="s">
        <v>725</v>
      </c>
      <c r="M235" s="98"/>
      <c r="N235" s="98"/>
      <c r="O235" s="98">
        <v>38</v>
      </c>
      <c r="P235" s="98"/>
      <c r="Q235" s="98"/>
      <c r="R235" s="98"/>
      <c r="S235" s="98"/>
      <c r="T235" s="98"/>
      <c r="U235" s="98">
        <v>0.93</v>
      </c>
      <c r="V235" s="98"/>
      <c r="W235" s="98"/>
      <c r="X235" s="101">
        <f t="shared" si="12"/>
        <v>0.93</v>
      </c>
      <c r="Y235" s="111">
        <v>1716</v>
      </c>
      <c r="Z235" s="106" t="str">
        <f t="shared" si="14"/>
        <v>F</v>
      </c>
      <c r="AA235" s="174"/>
      <c r="AB235" s="174"/>
      <c r="AC235" s="174"/>
      <c r="AD235" s="174"/>
      <c r="AE235" s="174"/>
      <c r="AF235" s="174"/>
      <c r="AG235" s="174"/>
      <c r="AH235" s="174"/>
      <c r="AI235" s="174"/>
      <c r="AJ235" s="174"/>
      <c r="AK235" s="174"/>
      <c r="AL235" s="174"/>
    </row>
    <row r="236" spans="1:38" s="107" customFormat="1">
      <c r="A236" s="97">
        <v>197</v>
      </c>
      <c r="B236" s="123" t="s">
        <v>875</v>
      </c>
      <c r="C236" s="98">
        <v>2007</v>
      </c>
      <c r="D236" s="123" t="s">
        <v>928</v>
      </c>
      <c r="E236" s="99" t="s">
        <v>20</v>
      </c>
      <c r="F236" s="98">
        <v>2003</v>
      </c>
      <c r="G236" s="98" t="s">
        <v>326</v>
      </c>
      <c r="H236" s="98" t="s">
        <v>159</v>
      </c>
      <c r="I236" s="98"/>
      <c r="J236" s="174" t="s">
        <v>1013</v>
      </c>
      <c r="K236" s="98" t="s">
        <v>1112</v>
      </c>
      <c r="L236" s="98" t="s">
        <v>924</v>
      </c>
      <c r="M236" s="98"/>
      <c r="N236" s="98"/>
      <c r="O236" s="98" t="s">
        <v>932</v>
      </c>
      <c r="P236" s="98">
        <v>0.98</v>
      </c>
      <c r="Q236" s="98">
        <v>0.8</v>
      </c>
      <c r="R236" s="98">
        <v>0.93</v>
      </c>
      <c r="S236" s="98">
        <v>0.99</v>
      </c>
      <c r="T236" s="98">
        <v>0.85</v>
      </c>
      <c r="U236" s="98">
        <v>0.96</v>
      </c>
      <c r="V236" s="98">
        <v>1758.5</v>
      </c>
      <c r="W236" s="98">
        <v>1445</v>
      </c>
      <c r="X236" s="101">
        <f t="shared" si="12"/>
        <v>0.93</v>
      </c>
      <c r="Y236" s="111">
        <v>1677.4</v>
      </c>
      <c r="Z236" s="106" t="str">
        <f t="shared" si="14"/>
        <v>F</v>
      </c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  <c r="AL236" s="174"/>
    </row>
    <row r="237" spans="1:38" s="107" customFormat="1">
      <c r="A237" s="97"/>
      <c r="B237" s="258" t="s">
        <v>1276</v>
      </c>
      <c r="C237" s="259">
        <v>1989</v>
      </c>
      <c r="D237" s="101"/>
      <c r="E237" s="103" t="s">
        <v>49</v>
      </c>
      <c r="F237" s="98"/>
      <c r="G237" s="98"/>
      <c r="H237" s="98"/>
      <c r="I237" s="98"/>
      <c r="J237" s="292" t="s">
        <v>1013</v>
      </c>
      <c r="K237" s="292" t="s">
        <v>1256</v>
      </c>
      <c r="L237" s="98"/>
      <c r="M237" s="98"/>
      <c r="N237" s="98"/>
      <c r="O237" s="107" t="s">
        <v>1267</v>
      </c>
      <c r="P237" s="98"/>
      <c r="Q237" s="98"/>
      <c r="R237" s="107">
        <v>0.92800000000000005</v>
      </c>
      <c r="S237" s="98"/>
      <c r="T237" s="98"/>
      <c r="U237" s="98"/>
      <c r="V237" s="98"/>
      <c r="W237" s="98"/>
      <c r="X237" s="101">
        <f t="shared" si="12"/>
        <v>0.92800000000000005</v>
      </c>
      <c r="Y237" s="107">
        <v>1704</v>
      </c>
      <c r="Z237" s="106" t="str">
        <f t="shared" si="14"/>
        <v>F</v>
      </c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4"/>
      <c r="AK237" s="174"/>
      <c r="AL237" s="174"/>
    </row>
    <row r="238" spans="1:38" s="107" customFormat="1">
      <c r="A238" s="97">
        <v>181</v>
      </c>
      <c r="B238" s="98" t="s">
        <v>766</v>
      </c>
      <c r="C238" s="98">
        <v>2009</v>
      </c>
      <c r="D238" s="112" t="s">
        <v>767</v>
      </c>
      <c r="E238" s="113" t="s">
        <v>49</v>
      </c>
      <c r="F238" s="114" t="s">
        <v>806</v>
      </c>
      <c r="G238" s="98" t="s">
        <v>777</v>
      </c>
      <c r="H238" s="115" t="s">
        <v>581</v>
      </c>
      <c r="I238" s="115"/>
      <c r="J238" s="115" t="s">
        <v>1013</v>
      </c>
      <c r="K238" s="115" t="s">
        <v>1096</v>
      </c>
      <c r="L238" s="114" t="s">
        <v>775</v>
      </c>
      <c r="M238" s="114" t="s">
        <v>164</v>
      </c>
      <c r="N238" s="114"/>
      <c r="O238" s="114" t="s">
        <v>807</v>
      </c>
      <c r="P238" s="114"/>
      <c r="Q238" s="114"/>
      <c r="R238" s="98"/>
      <c r="S238" s="98"/>
      <c r="T238" s="98"/>
      <c r="U238" s="129">
        <v>0.92572142999999996</v>
      </c>
      <c r="V238" s="129"/>
      <c r="W238" s="129"/>
      <c r="X238" s="101">
        <f t="shared" si="12"/>
        <v>0.92572142999999996</v>
      </c>
      <c r="Y238" s="222">
        <v>1649.695015</v>
      </c>
      <c r="Z238" s="106" t="str">
        <f t="shared" si="14"/>
        <v>F</v>
      </c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</row>
    <row r="239" spans="1:38" s="107" customFormat="1">
      <c r="A239" s="97"/>
      <c r="B239" s="258" t="s">
        <v>1276</v>
      </c>
      <c r="C239" s="259">
        <v>1989</v>
      </c>
      <c r="D239" s="101"/>
      <c r="E239" s="103" t="s">
        <v>49</v>
      </c>
      <c r="F239" s="98"/>
      <c r="G239" s="98"/>
      <c r="H239" s="98"/>
      <c r="I239" s="98"/>
      <c r="J239" s="292" t="s">
        <v>1013</v>
      </c>
      <c r="K239" s="292" t="s">
        <v>1257</v>
      </c>
      <c r="L239" s="98"/>
      <c r="M239" s="98"/>
      <c r="N239" s="98"/>
      <c r="O239" s="107" t="s">
        <v>1259</v>
      </c>
      <c r="P239" s="98"/>
      <c r="Q239" s="98"/>
      <c r="R239" s="107">
        <v>0.92500000000000004</v>
      </c>
      <c r="S239" s="98"/>
      <c r="T239" s="98"/>
      <c r="U239" s="98"/>
      <c r="V239" s="98"/>
      <c r="W239" s="98"/>
      <c r="X239" s="101">
        <f t="shared" si="12"/>
        <v>0.92500000000000004</v>
      </c>
      <c r="Y239" s="107">
        <v>1697</v>
      </c>
      <c r="Z239" s="106" t="str">
        <f t="shared" ref="Z239:Z270" si="15">IF(X239&lt;&gt;"",IF(X239&lt;0.9,"S","F"),"")</f>
        <v>F</v>
      </c>
      <c r="AA239" s="174"/>
      <c r="AB239" s="174"/>
      <c r="AC239" s="174"/>
      <c r="AD239" s="174"/>
      <c r="AE239" s="174"/>
      <c r="AF239" s="174"/>
      <c r="AG239" s="174"/>
      <c r="AH239" s="174"/>
      <c r="AI239" s="174"/>
      <c r="AJ239" s="174"/>
      <c r="AK239" s="174"/>
      <c r="AL239" s="174"/>
    </row>
    <row r="240" spans="1:38" s="107" customFormat="1">
      <c r="A240" s="97">
        <v>181</v>
      </c>
      <c r="B240" s="98" t="s">
        <v>766</v>
      </c>
      <c r="C240" s="98">
        <v>2009</v>
      </c>
      <c r="D240" s="112" t="s">
        <v>767</v>
      </c>
      <c r="E240" s="113" t="s">
        <v>49</v>
      </c>
      <c r="F240" s="114" t="s">
        <v>773</v>
      </c>
      <c r="G240" s="98" t="s">
        <v>832</v>
      </c>
      <c r="H240" s="115" t="s">
        <v>581</v>
      </c>
      <c r="I240" s="115"/>
      <c r="J240" s="115" t="s">
        <v>1013</v>
      </c>
      <c r="K240" s="115" t="s">
        <v>1096</v>
      </c>
      <c r="L240" s="114" t="s">
        <v>775</v>
      </c>
      <c r="M240" s="114" t="s">
        <v>164</v>
      </c>
      <c r="N240" s="114"/>
      <c r="O240" s="114" t="s">
        <v>833</v>
      </c>
      <c r="P240" s="114"/>
      <c r="Q240" s="114"/>
      <c r="R240" s="98"/>
      <c r="S240" s="98"/>
      <c r="T240" s="98"/>
      <c r="U240" s="129">
        <v>0.92401837899999995</v>
      </c>
      <c r="V240" s="129"/>
      <c r="W240" s="129"/>
      <c r="X240" s="101">
        <f t="shared" si="12"/>
        <v>0.92401837899999995</v>
      </c>
      <c r="Y240" s="222">
        <v>1657.9590490000001</v>
      </c>
      <c r="Z240" s="106" t="str">
        <f t="shared" si="15"/>
        <v>F</v>
      </c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  <c r="AL240" s="174"/>
    </row>
    <row r="241" spans="1:38" s="107" customFormat="1">
      <c r="A241" s="97">
        <v>181</v>
      </c>
      <c r="B241" s="98" t="s">
        <v>766</v>
      </c>
      <c r="C241" s="98">
        <v>2009</v>
      </c>
      <c r="D241" s="112" t="s">
        <v>767</v>
      </c>
      <c r="E241" s="113" t="s">
        <v>49</v>
      </c>
      <c r="F241" s="114" t="s">
        <v>820</v>
      </c>
      <c r="G241" s="98" t="s">
        <v>821</v>
      </c>
      <c r="H241" s="115" t="s">
        <v>581</v>
      </c>
      <c r="I241" s="115"/>
      <c r="J241" s="115" t="s">
        <v>1013</v>
      </c>
      <c r="K241" s="115" t="s">
        <v>1096</v>
      </c>
      <c r="L241" s="114" t="s">
        <v>775</v>
      </c>
      <c r="M241" s="114" t="s">
        <v>164</v>
      </c>
      <c r="N241" s="114"/>
      <c r="O241" s="114" t="s">
        <v>822</v>
      </c>
      <c r="P241" s="114"/>
      <c r="Q241" s="114"/>
      <c r="R241" s="98"/>
      <c r="S241" s="98"/>
      <c r="T241" s="98"/>
      <c r="U241" s="129">
        <v>0.92372757000000005</v>
      </c>
      <c r="V241" s="129"/>
      <c r="W241" s="129"/>
      <c r="X241" s="101">
        <f t="shared" si="12"/>
        <v>0.92372757000000005</v>
      </c>
      <c r="Y241" s="222">
        <v>1648.326386</v>
      </c>
      <c r="Z241" s="106" t="str">
        <f t="shared" si="15"/>
        <v>F</v>
      </c>
      <c r="AA241" s="174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174"/>
      <c r="AL241" s="174"/>
    </row>
    <row r="242" spans="1:38" s="107" customFormat="1">
      <c r="A242" s="174"/>
      <c r="B242" s="123" t="s">
        <v>766</v>
      </c>
      <c r="C242" s="98">
        <v>2013</v>
      </c>
      <c r="D242" s="101"/>
      <c r="E242" s="99" t="s">
        <v>172</v>
      </c>
      <c r="F242" s="98">
        <v>2011</v>
      </c>
      <c r="G242" s="98" t="s">
        <v>631</v>
      </c>
      <c r="H242" s="101" t="s">
        <v>159</v>
      </c>
      <c r="I242" s="101" t="s">
        <v>1014</v>
      </c>
      <c r="J242" s="115" t="s">
        <v>1013</v>
      </c>
      <c r="K242" s="115" t="s">
        <v>1096</v>
      </c>
      <c r="L242" s="98" t="s">
        <v>974</v>
      </c>
      <c r="M242" s="174"/>
      <c r="N242" s="174"/>
      <c r="O242" s="101" t="s">
        <v>972</v>
      </c>
      <c r="P242" s="174"/>
      <c r="Q242" s="174"/>
      <c r="R242" s="174"/>
      <c r="S242" s="174"/>
      <c r="T242" s="174"/>
      <c r="U242" s="98">
        <v>0.92300000000000004</v>
      </c>
      <c r="V242" s="174"/>
      <c r="W242" s="174"/>
      <c r="X242" s="101">
        <f t="shared" si="12"/>
        <v>0.92300000000000004</v>
      </c>
      <c r="Y242" s="111">
        <v>1681</v>
      </c>
      <c r="Z242" s="106" t="str">
        <f t="shared" si="15"/>
        <v>F</v>
      </c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</row>
    <row r="243" spans="1:38" s="107" customFormat="1">
      <c r="A243" s="97">
        <v>174</v>
      </c>
      <c r="B243" s="98" t="s">
        <v>697</v>
      </c>
      <c r="C243" s="98">
        <v>2009</v>
      </c>
      <c r="D243" s="108" t="s">
        <v>698</v>
      </c>
      <c r="E243" s="99" t="s">
        <v>20</v>
      </c>
      <c r="F243" s="100" t="s">
        <v>701</v>
      </c>
      <c r="G243" s="98" t="s">
        <v>705</v>
      </c>
      <c r="H243" s="98" t="s">
        <v>159</v>
      </c>
      <c r="I243" s="98"/>
      <c r="J243" s="174" t="s">
        <v>1013</v>
      </c>
      <c r="K243" s="98" t="s">
        <v>1091</v>
      </c>
      <c r="L243" s="98" t="s">
        <v>725</v>
      </c>
      <c r="M243" s="109"/>
      <c r="N243" s="109"/>
      <c r="O243" s="98" t="s">
        <v>725</v>
      </c>
      <c r="P243" s="103"/>
      <c r="Q243" s="103"/>
      <c r="R243" s="98"/>
      <c r="S243" s="98"/>
      <c r="T243" s="98"/>
      <c r="U243" s="104">
        <v>0.92</v>
      </c>
      <c r="V243" s="175"/>
      <c r="W243" s="175"/>
      <c r="X243" s="101">
        <f t="shared" si="12"/>
        <v>0.92</v>
      </c>
      <c r="Y243" s="221">
        <v>1528</v>
      </c>
      <c r="Z243" s="106" t="str">
        <f t="shared" si="15"/>
        <v>F</v>
      </c>
      <c r="AA243" s="174"/>
      <c r="AB243" s="174"/>
      <c r="AC243" s="174"/>
      <c r="AD243" s="174"/>
      <c r="AE243" s="174"/>
      <c r="AF243" s="174"/>
      <c r="AG243" s="174"/>
      <c r="AH243" s="174"/>
      <c r="AI243" s="174"/>
      <c r="AJ243" s="174"/>
      <c r="AK243" s="174"/>
      <c r="AL243" s="174"/>
    </row>
    <row r="244" spans="1:38" s="107" customFormat="1">
      <c r="A244" s="97">
        <v>174</v>
      </c>
      <c r="B244" s="98" t="s">
        <v>697</v>
      </c>
      <c r="C244" s="98">
        <v>2009</v>
      </c>
      <c r="D244" s="108" t="s">
        <v>698</v>
      </c>
      <c r="E244" s="99" t="s">
        <v>20</v>
      </c>
      <c r="F244" s="100" t="s">
        <v>701</v>
      </c>
      <c r="G244" s="98" t="s">
        <v>705</v>
      </c>
      <c r="H244" s="98" t="s">
        <v>159</v>
      </c>
      <c r="I244" s="98"/>
      <c r="J244" s="174" t="s">
        <v>1013</v>
      </c>
      <c r="K244" s="98" t="s">
        <v>1096</v>
      </c>
      <c r="L244" s="98" t="s">
        <v>715</v>
      </c>
      <c r="M244" s="109"/>
      <c r="N244" s="109"/>
      <c r="O244" s="98" t="s">
        <v>715</v>
      </c>
      <c r="P244" s="103"/>
      <c r="Q244" s="103"/>
      <c r="R244" s="98"/>
      <c r="S244" s="98"/>
      <c r="T244" s="98"/>
      <c r="U244" s="104">
        <v>0.92</v>
      </c>
      <c r="V244" s="175"/>
      <c r="W244" s="175"/>
      <c r="X244" s="101">
        <f t="shared" si="12"/>
        <v>0.92</v>
      </c>
      <c r="Y244" s="221">
        <v>1589</v>
      </c>
      <c r="Z244" s="106" t="str">
        <f t="shared" si="15"/>
        <v>F</v>
      </c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174"/>
      <c r="AL244" s="174"/>
    </row>
    <row r="245" spans="1:38" s="107" customFormat="1">
      <c r="A245" s="97">
        <v>181</v>
      </c>
      <c r="B245" s="98" t="s">
        <v>766</v>
      </c>
      <c r="C245" s="98">
        <v>2009</v>
      </c>
      <c r="D245" s="112" t="s">
        <v>767</v>
      </c>
      <c r="E245" s="113" t="s">
        <v>49</v>
      </c>
      <c r="F245" s="114" t="s">
        <v>806</v>
      </c>
      <c r="G245" s="98" t="s">
        <v>821</v>
      </c>
      <c r="H245" s="115" t="s">
        <v>581</v>
      </c>
      <c r="I245" s="115"/>
      <c r="J245" s="115" t="s">
        <v>1013</v>
      </c>
      <c r="K245" s="115" t="s">
        <v>1096</v>
      </c>
      <c r="L245" s="114" t="s">
        <v>775</v>
      </c>
      <c r="M245" s="114" t="s">
        <v>164</v>
      </c>
      <c r="N245" s="114"/>
      <c r="O245" s="114" t="s">
        <v>823</v>
      </c>
      <c r="P245" s="114"/>
      <c r="Q245" s="114"/>
      <c r="R245" s="98"/>
      <c r="S245" s="98"/>
      <c r="T245" s="98"/>
      <c r="U245" s="129">
        <v>0.91865929800000001</v>
      </c>
      <c r="V245" s="129"/>
      <c r="W245" s="129"/>
      <c r="X245" s="101">
        <f t="shared" si="12"/>
        <v>0.91865929800000001</v>
      </c>
      <c r="Y245" s="222">
        <v>1638.9345350000001</v>
      </c>
      <c r="Z245" s="106" t="str">
        <f t="shared" si="15"/>
        <v>F</v>
      </c>
      <c r="AA245" s="174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174"/>
      <c r="AL245" s="174"/>
    </row>
    <row r="246" spans="1:38" s="107" customFormat="1">
      <c r="A246" s="97">
        <v>181</v>
      </c>
      <c r="B246" s="98" t="s">
        <v>766</v>
      </c>
      <c r="C246" s="98">
        <v>2009</v>
      </c>
      <c r="D246" s="112" t="s">
        <v>767</v>
      </c>
      <c r="E246" s="113" t="s">
        <v>49</v>
      </c>
      <c r="F246" s="114" t="s">
        <v>780</v>
      </c>
      <c r="G246" s="98" t="s">
        <v>786</v>
      </c>
      <c r="H246" s="115" t="s">
        <v>159</v>
      </c>
      <c r="I246" s="115"/>
      <c r="J246" s="115" t="s">
        <v>1013</v>
      </c>
      <c r="K246" s="115" t="s">
        <v>1096</v>
      </c>
      <c r="L246" s="114" t="s">
        <v>782</v>
      </c>
      <c r="M246" s="114" t="s">
        <v>164</v>
      </c>
      <c r="N246" s="114"/>
      <c r="O246" s="114" t="s">
        <v>840</v>
      </c>
      <c r="P246" s="114"/>
      <c r="Q246" s="114"/>
      <c r="R246" s="98"/>
      <c r="S246" s="98"/>
      <c r="T246" s="98"/>
      <c r="U246" s="129">
        <v>0.91831407899999995</v>
      </c>
      <c r="V246" s="129"/>
      <c r="W246" s="129"/>
      <c r="X246" s="101">
        <f t="shared" si="12"/>
        <v>0.91831407899999995</v>
      </c>
      <c r="Y246" s="222">
        <v>1640.3190999999999</v>
      </c>
      <c r="Z246" s="106" t="str">
        <f t="shared" si="15"/>
        <v>F</v>
      </c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</row>
    <row r="247" spans="1:38" s="107" customFormat="1">
      <c r="A247" s="97">
        <v>181</v>
      </c>
      <c r="B247" s="98" t="s">
        <v>766</v>
      </c>
      <c r="C247" s="98">
        <v>2009</v>
      </c>
      <c r="D247" s="112" t="s">
        <v>767</v>
      </c>
      <c r="E247" s="113" t="s">
        <v>49</v>
      </c>
      <c r="F247" s="114" t="s">
        <v>806</v>
      </c>
      <c r="G247" s="98" t="s">
        <v>777</v>
      </c>
      <c r="H247" s="115" t="s">
        <v>581</v>
      </c>
      <c r="I247" s="115"/>
      <c r="J247" s="115" t="s">
        <v>1013</v>
      </c>
      <c r="K247" s="115" t="s">
        <v>1096</v>
      </c>
      <c r="L247" s="114" t="s">
        <v>775</v>
      </c>
      <c r="M247" s="114" t="s">
        <v>164</v>
      </c>
      <c r="N247" s="114"/>
      <c r="O247" s="114" t="s">
        <v>828</v>
      </c>
      <c r="P247" s="114"/>
      <c r="Q247" s="114"/>
      <c r="R247" s="98"/>
      <c r="S247" s="98"/>
      <c r="T247" s="98"/>
      <c r="U247" s="129">
        <v>0.91809654699999999</v>
      </c>
      <c r="V247" s="129"/>
      <c r="W247" s="129"/>
      <c r="X247" s="101">
        <f t="shared" si="12"/>
        <v>0.91809654699999999</v>
      </c>
      <c r="Y247" s="222">
        <v>1639.931004</v>
      </c>
      <c r="Z247" s="106" t="str">
        <f t="shared" si="15"/>
        <v>F</v>
      </c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</row>
    <row r="248" spans="1:38" s="107" customFormat="1">
      <c r="A248" s="174"/>
      <c r="B248" s="123" t="s">
        <v>766</v>
      </c>
      <c r="C248" s="98">
        <v>2013</v>
      </c>
      <c r="D248" s="101"/>
      <c r="E248" s="99" t="s">
        <v>172</v>
      </c>
      <c r="F248" s="98">
        <v>2011</v>
      </c>
      <c r="G248" s="98" t="s">
        <v>631</v>
      </c>
      <c r="H248" s="101" t="s">
        <v>159</v>
      </c>
      <c r="I248" s="101" t="s">
        <v>1014</v>
      </c>
      <c r="J248" s="115" t="s">
        <v>1013</v>
      </c>
      <c r="K248" s="115" t="s">
        <v>1096</v>
      </c>
      <c r="L248" s="98" t="s">
        <v>978</v>
      </c>
      <c r="M248" s="174"/>
      <c r="N248" s="174"/>
      <c r="O248" s="101" t="s">
        <v>977</v>
      </c>
      <c r="P248" s="174"/>
      <c r="Q248" s="174"/>
      <c r="R248" s="174"/>
      <c r="S248" s="174"/>
      <c r="T248" s="174"/>
      <c r="U248" s="98">
        <v>0.91800000000000004</v>
      </c>
      <c r="V248" s="174"/>
      <c r="W248" s="174"/>
      <c r="X248" s="101">
        <f t="shared" si="12"/>
        <v>0.91800000000000004</v>
      </c>
      <c r="Y248" s="111">
        <v>1671</v>
      </c>
      <c r="Z248" s="106" t="str">
        <f t="shared" si="15"/>
        <v>F</v>
      </c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</row>
    <row r="249" spans="1:38" s="107" customFormat="1">
      <c r="A249" s="97">
        <v>181</v>
      </c>
      <c r="B249" s="98" t="s">
        <v>766</v>
      </c>
      <c r="C249" s="98">
        <v>2009</v>
      </c>
      <c r="D249" s="112" t="s">
        <v>767</v>
      </c>
      <c r="E249" s="112" t="s">
        <v>49</v>
      </c>
      <c r="F249" s="119"/>
      <c r="G249" s="98" t="s">
        <v>777</v>
      </c>
      <c r="H249" s="108" t="s">
        <v>581</v>
      </c>
      <c r="I249" s="108"/>
      <c r="J249" s="115" t="s">
        <v>1013</v>
      </c>
      <c r="K249" s="115" t="s">
        <v>1096</v>
      </c>
      <c r="L249" s="119" t="s">
        <v>775</v>
      </c>
      <c r="M249" s="119" t="s">
        <v>164</v>
      </c>
      <c r="N249" s="119"/>
      <c r="O249" s="119" t="s">
        <v>779</v>
      </c>
      <c r="P249" s="119"/>
      <c r="Q249" s="119"/>
      <c r="R249" s="98"/>
      <c r="S249" s="98"/>
      <c r="T249" s="98"/>
      <c r="U249" s="130">
        <v>0.91637743400000005</v>
      </c>
      <c r="V249" s="130"/>
      <c r="W249" s="130"/>
      <c r="X249" s="101">
        <f t="shared" si="12"/>
        <v>0.91637743400000005</v>
      </c>
      <c r="Y249" s="223">
        <v>1622.2827930000001</v>
      </c>
      <c r="Z249" s="106" t="str">
        <f t="shared" si="15"/>
        <v>F</v>
      </c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  <c r="AL249" s="174"/>
    </row>
    <row r="250" spans="1:38" s="107" customFormat="1">
      <c r="A250" s="97">
        <v>181</v>
      </c>
      <c r="B250" s="98" t="s">
        <v>766</v>
      </c>
      <c r="C250" s="98">
        <v>2009</v>
      </c>
      <c r="D250" s="112" t="s">
        <v>767</v>
      </c>
      <c r="E250" s="113" t="s">
        <v>49</v>
      </c>
      <c r="F250" s="114"/>
      <c r="G250" s="98" t="s">
        <v>777</v>
      </c>
      <c r="H250" s="115" t="s">
        <v>581</v>
      </c>
      <c r="I250" s="115"/>
      <c r="J250" s="115" t="s">
        <v>1013</v>
      </c>
      <c r="K250" s="115" t="s">
        <v>1096</v>
      </c>
      <c r="L250" s="114" t="s">
        <v>775</v>
      </c>
      <c r="M250" s="114" t="s">
        <v>164</v>
      </c>
      <c r="N250" s="114"/>
      <c r="O250" s="114" t="s">
        <v>779</v>
      </c>
      <c r="P250" s="114"/>
      <c r="Q250" s="114"/>
      <c r="R250" s="98"/>
      <c r="S250" s="98"/>
      <c r="T250" s="98"/>
      <c r="U250" s="129">
        <v>0.91637743400000005</v>
      </c>
      <c r="V250" s="129"/>
      <c r="W250" s="129"/>
      <c r="X250" s="101">
        <f t="shared" si="12"/>
        <v>0.91637743400000005</v>
      </c>
      <c r="Y250" s="222">
        <v>1622.2827930000001</v>
      </c>
      <c r="Z250" s="106" t="str">
        <f t="shared" si="15"/>
        <v>F</v>
      </c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</row>
    <row r="251" spans="1:38" s="107" customFormat="1">
      <c r="A251" s="97">
        <v>181</v>
      </c>
      <c r="B251" s="98" t="s">
        <v>766</v>
      </c>
      <c r="C251" s="98">
        <v>2009</v>
      </c>
      <c r="D251" s="112" t="s">
        <v>767</v>
      </c>
      <c r="E251" s="113" t="s">
        <v>49</v>
      </c>
      <c r="F251" s="114" t="s">
        <v>780</v>
      </c>
      <c r="G251" s="98" t="s">
        <v>781</v>
      </c>
      <c r="H251" s="115" t="s">
        <v>95</v>
      </c>
      <c r="I251" s="115"/>
      <c r="J251" s="108" t="s">
        <v>1013</v>
      </c>
      <c r="K251" s="108" t="s">
        <v>1096</v>
      </c>
      <c r="L251" s="114" t="s">
        <v>782</v>
      </c>
      <c r="M251" s="114" t="s">
        <v>783</v>
      </c>
      <c r="N251" s="114" t="s">
        <v>784</v>
      </c>
      <c r="O251" s="114" t="s">
        <v>803</v>
      </c>
      <c r="P251" s="114"/>
      <c r="Q251" s="114"/>
      <c r="R251" s="98"/>
      <c r="S251" s="98"/>
      <c r="T251" s="98"/>
      <c r="U251" s="129">
        <v>0.91620070099999995</v>
      </c>
      <c r="V251" s="129"/>
      <c r="W251" s="129"/>
      <c r="X251" s="101">
        <f t="shared" si="12"/>
        <v>0.91620070099999995</v>
      </c>
      <c r="Y251" s="222">
        <v>1609.4</v>
      </c>
      <c r="Z251" s="106" t="str">
        <f t="shared" si="15"/>
        <v>F</v>
      </c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  <c r="AL251" s="174"/>
    </row>
    <row r="252" spans="1:38" s="107" customFormat="1">
      <c r="A252" s="174"/>
      <c r="B252" s="123" t="s">
        <v>766</v>
      </c>
      <c r="C252" s="98">
        <v>2013</v>
      </c>
      <c r="D252" s="101"/>
      <c r="E252" s="99" t="s">
        <v>172</v>
      </c>
      <c r="F252" s="98">
        <v>2011</v>
      </c>
      <c r="G252" s="98" t="s">
        <v>631</v>
      </c>
      <c r="H252" s="101" t="s">
        <v>159</v>
      </c>
      <c r="I252" s="101" t="s">
        <v>1014</v>
      </c>
      <c r="J252" s="115" t="s">
        <v>1013</v>
      </c>
      <c r="K252" s="115" t="s">
        <v>1096</v>
      </c>
      <c r="L252" s="98" t="s">
        <v>975</v>
      </c>
      <c r="M252" s="174"/>
      <c r="N252" s="174"/>
      <c r="O252" s="101" t="s">
        <v>976</v>
      </c>
      <c r="P252" s="174"/>
      <c r="Q252" s="174"/>
      <c r="R252" s="174"/>
      <c r="S252" s="174"/>
      <c r="T252" s="174"/>
      <c r="U252" s="98">
        <v>0.91600000000000004</v>
      </c>
      <c r="V252" s="174"/>
      <c r="W252" s="174"/>
      <c r="X252" s="101">
        <f t="shared" si="12"/>
        <v>0.91600000000000004</v>
      </c>
      <c r="Y252" s="111">
        <v>1668</v>
      </c>
      <c r="Z252" s="106" t="str">
        <f t="shared" si="15"/>
        <v>F</v>
      </c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</row>
    <row r="253" spans="1:38" s="107" customFormat="1">
      <c r="A253" s="97">
        <v>174</v>
      </c>
      <c r="B253" s="98" t="s">
        <v>697</v>
      </c>
      <c r="C253" s="98">
        <v>2009</v>
      </c>
      <c r="D253" s="108" t="s">
        <v>698</v>
      </c>
      <c r="E253" s="99" t="s">
        <v>20</v>
      </c>
      <c r="F253" s="100" t="s">
        <v>701</v>
      </c>
      <c r="G253" s="98" t="s">
        <v>705</v>
      </c>
      <c r="H253" s="98" t="s">
        <v>159</v>
      </c>
      <c r="I253" s="98"/>
      <c r="J253" s="174" t="s">
        <v>1013</v>
      </c>
      <c r="K253" s="98" t="s">
        <v>1091</v>
      </c>
      <c r="L253" s="98" t="s">
        <v>712</v>
      </c>
      <c r="M253" s="109"/>
      <c r="N253" s="109"/>
      <c r="O253" s="98" t="s">
        <v>713</v>
      </c>
      <c r="P253" s="103"/>
      <c r="Q253" s="103"/>
      <c r="R253" s="98"/>
      <c r="S253" s="98"/>
      <c r="T253" s="98"/>
      <c r="U253" s="104">
        <v>0.91500000000000004</v>
      </c>
      <c r="V253" s="175"/>
      <c r="W253" s="175"/>
      <c r="X253" s="101">
        <f t="shared" ref="X253:X316" si="16">IF(R253&lt;&gt;0,IF(R253&gt;1,R253/100,R253),IF(U253&lt;&gt;0,IF(U253&gt;1,U253/100,U253),""))</f>
        <v>0.91500000000000004</v>
      </c>
      <c r="Y253" s="221">
        <v>1552</v>
      </c>
      <c r="Z253" s="106" t="str">
        <f t="shared" si="15"/>
        <v>F</v>
      </c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</row>
    <row r="254" spans="1:38" s="107" customFormat="1">
      <c r="A254" s="97">
        <v>181</v>
      </c>
      <c r="B254" s="98" t="s">
        <v>766</v>
      </c>
      <c r="C254" s="98">
        <v>2009</v>
      </c>
      <c r="D254" s="112" t="s">
        <v>767</v>
      </c>
      <c r="E254" s="113" t="s">
        <v>49</v>
      </c>
      <c r="F254" s="114" t="s">
        <v>829</v>
      </c>
      <c r="G254" s="98" t="s">
        <v>786</v>
      </c>
      <c r="H254" s="115" t="s">
        <v>159</v>
      </c>
      <c r="I254" s="115"/>
      <c r="J254" s="115" t="s">
        <v>1013</v>
      </c>
      <c r="K254" s="115" t="s">
        <v>1096</v>
      </c>
      <c r="L254" s="114" t="s">
        <v>782</v>
      </c>
      <c r="M254" s="114" t="s">
        <v>164</v>
      </c>
      <c r="N254" s="114"/>
      <c r="O254" s="114" t="s">
        <v>830</v>
      </c>
      <c r="P254" s="114"/>
      <c r="Q254" s="114"/>
      <c r="R254" s="98"/>
      <c r="S254" s="98"/>
      <c r="T254" s="98"/>
      <c r="U254" s="129">
        <v>0.91426053399999996</v>
      </c>
      <c r="V254" s="129"/>
      <c r="W254" s="129"/>
      <c r="X254" s="101">
        <f t="shared" si="16"/>
        <v>0.91426053399999996</v>
      </c>
      <c r="Y254" s="222">
        <v>1632.3128979999999</v>
      </c>
      <c r="Z254" s="106" t="str">
        <f t="shared" si="15"/>
        <v>F</v>
      </c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</row>
    <row r="255" spans="1:38" s="107" customFormat="1">
      <c r="A255" s="97"/>
      <c r="B255" s="258" t="s">
        <v>1276</v>
      </c>
      <c r="C255" s="259">
        <v>1989</v>
      </c>
      <c r="D255" s="101"/>
      <c r="E255" s="103" t="s">
        <v>49</v>
      </c>
      <c r="F255" s="98"/>
      <c r="G255" s="98"/>
      <c r="H255" s="98"/>
      <c r="I255" s="98"/>
      <c r="J255" s="292" t="s">
        <v>1013</v>
      </c>
      <c r="K255" s="292" t="s">
        <v>1257</v>
      </c>
      <c r="L255" s="98"/>
      <c r="M255" s="98"/>
      <c r="N255" s="98"/>
      <c r="O255" s="107" t="s">
        <v>1258</v>
      </c>
      <c r="P255" s="98"/>
      <c r="Q255" s="98"/>
      <c r="R255" s="107">
        <v>0.91400000000000003</v>
      </c>
      <c r="S255" s="98"/>
      <c r="T255" s="98"/>
      <c r="U255" s="98"/>
      <c r="V255" s="98"/>
      <c r="W255" s="98"/>
      <c r="X255" s="101">
        <f t="shared" si="16"/>
        <v>0.91400000000000003</v>
      </c>
      <c r="Y255" s="107">
        <v>1677</v>
      </c>
      <c r="Z255" s="106" t="str">
        <f t="shared" si="15"/>
        <v>F</v>
      </c>
      <c r="AA255" s="174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174"/>
      <c r="AL255" s="174"/>
    </row>
    <row r="256" spans="1:38" s="107" customFormat="1">
      <c r="A256" s="97">
        <v>173</v>
      </c>
      <c r="B256" s="98" t="s">
        <v>585</v>
      </c>
      <c r="C256" s="98">
        <v>2011</v>
      </c>
      <c r="D256" s="108" t="s">
        <v>636</v>
      </c>
      <c r="E256" s="99" t="s">
        <v>638</v>
      </c>
      <c r="F256" s="100" t="s">
        <v>656</v>
      </c>
      <c r="G256" s="98" t="s">
        <v>657</v>
      </c>
      <c r="H256" s="98" t="s">
        <v>146</v>
      </c>
      <c r="I256" s="98"/>
      <c r="J256" s="101" t="s">
        <v>1013</v>
      </c>
      <c r="K256" s="98" t="s">
        <v>1082</v>
      </c>
      <c r="L256" s="98" t="s">
        <v>658</v>
      </c>
      <c r="M256" s="109"/>
      <c r="N256" s="109"/>
      <c r="O256" s="98" t="s">
        <v>659</v>
      </c>
      <c r="P256" s="103"/>
      <c r="Q256" s="103"/>
      <c r="R256" s="98"/>
      <c r="S256" s="98"/>
      <c r="T256" s="98"/>
      <c r="U256" s="104">
        <v>0.91300000000000003</v>
      </c>
      <c r="V256" s="175"/>
      <c r="W256" s="175"/>
      <c r="X256" s="101">
        <f t="shared" si="16"/>
        <v>0.91300000000000003</v>
      </c>
      <c r="Y256" s="221">
        <v>1599</v>
      </c>
      <c r="Z256" s="106" t="str">
        <f t="shared" si="15"/>
        <v>F</v>
      </c>
      <c r="AA256" s="174"/>
      <c r="AB256" s="174"/>
      <c r="AC256" s="174"/>
      <c r="AD256" s="174"/>
      <c r="AE256" s="174"/>
      <c r="AF256" s="174"/>
      <c r="AG256" s="174"/>
      <c r="AH256" s="174"/>
      <c r="AI256" s="174"/>
      <c r="AJ256" s="174"/>
      <c r="AK256" s="174"/>
      <c r="AL256" s="174"/>
    </row>
    <row r="257" spans="1:38" s="107" customFormat="1">
      <c r="A257" s="97">
        <v>181</v>
      </c>
      <c r="B257" s="98" t="s">
        <v>766</v>
      </c>
      <c r="C257" s="98">
        <v>2009</v>
      </c>
      <c r="D257" s="112" t="s">
        <v>767</v>
      </c>
      <c r="E257" s="113" t="s">
        <v>49</v>
      </c>
      <c r="F257" s="114" t="s">
        <v>773</v>
      </c>
      <c r="G257" s="98" t="s">
        <v>777</v>
      </c>
      <c r="H257" s="115" t="s">
        <v>581</v>
      </c>
      <c r="I257" s="115"/>
      <c r="J257" s="115" t="s">
        <v>1013</v>
      </c>
      <c r="K257" s="115" t="s">
        <v>1096</v>
      </c>
      <c r="L257" s="114" t="s">
        <v>775</v>
      </c>
      <c r="M257" s="114" t="s">
        <v>164</v>
      </c>
      <c r="N257" s="114"/>
      <c r="O257" s="114" t="s">
        <v>778</v>
      </c>
      <c r="P257" s="114"/>
      <c r="Q257" s="114"/>
      <c r="R257" s="98"/>
      <c r="S257" s="98"/>
      <c r="T257" s="98"/>
      <c r="U257" s="129">
        <v>0.91048192400000005</v>
      </c>
      <c r="V257" s="129"/>
      <c r="W257" s="129"/>
      <c r="X257" s="101">
        <f t="shared" si="16"/>
        <v>0.91048192400000005</v>
      </c>
      <c r="Y257" s="222">
        <v>1607.441636</v>
      </c>
      <c r="Z257" s="106" t="str">
        <f t="shared" si="15"/>
        <v>F</v>
      </c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174"/>
      <c r="AL257" s="174"/>
    </row>
    <row r="258" spans="1:38" s="107" customFormat="1">
      <c r="A258" s="97">
        <v>203</v>
      </c>
      <c r="B258" s="123" t="s">
        <v>940</v>
      </c>
      <c r="C258" s="98">
        <v>2011</v>
      </c>
      <c r="D258" s="123" t="s">
        <v>941</v>
      </c>
      <c r="E258" s="99" t="s">
        <v>20</v>
      </c>
      <c r="F258" s="98">
        <v>2009</v>
      </c>
      <c r="G258" s="98" t="s">
        <v>326</v>
      </c>
      <c r="H258" s="98"/>
      <c r="I258" s="98"/>
      <c r="J258" s="174" t="s">
        <v>1013</v>
      </c>
      <c r="K258" s="98" t="s">
        <v>1096</v>
      </c>
      <c r="L258" s="98" t="s">
        <v>715</v>
      </c>
      <c r="M258" s="98"/>
      <c r="N258" s="98"/>
      <c r="O258" s="98">
        <v>57</v>
      </c>
      <c r="P258" s="98"/>
      <c r="Q258" s="98"/>
      <c r="R258" s="98"/>
      <c r="S258" s="98"/>
      <c r="T258" s="98"/>
      <c r="U258" s="98">
        <v>0.91</v>
      </c>
      <c r="V258" s="98"/>
      <c r="W258" s="98"/>
      <c r="X258" s="101">
        <f t="shared" si="16"/>
        <v>0.91</v>
      </c>
      <c r="Y258" s="111">
        <v>1603</v>
      </c>
      <c r="Z258" s="106" t="str">
        <f t="shared" si="15"/>
        <v>F</v>
      </c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</row>
    <row r="259" spans="1:38" s="107" customFormat="1">
      <c r="A259" s="97">
        <v>35</v>
      </c>
      <c r="B259" s="103" t="s">
        <v>45</v>
      </c>
      <c r="C259" s="103">
        <v>1982</v>
      </c>
      <c r="D259" s="103" t="s">
        <v>46</v>
      </c>
      <c r="E259" s="99" t="s">
        <v>49</v>
      </c>
      <c r="F259" s="98" t="s">
        <v>50</v>
      </c>
      <c r="G259" s="98" t="s">
        <v>51</v>
      </c>
      <c r="H259" s="98" t="s">
        <v>23</v>
      </c>
      <c r="I259" s="98"/>
      <c r="J259" s="98" t="s">
        <v>1013</v>
      </c>
      <c r="K259" s="98" t="s">
        <v>1134</v>
      </c>
      <c r="L259" s="98" t="s">
        <v>52</v>
      </c>
      <c r="M259" s="98"/>
      <c r="N259" s="98"/>
      <c r="O259" s="98" t="s">
        <v>69</v>
      </c>
      <c r="P259" s="98">
        <v>0.91</v>
      </c>
      <c r="Q259" s="98"/>
      <c r="R259" s="98">
        <f>+P259</f>
        <v>0.91</v>
      </c>
      <c r="S259" s="98"/>
      <c r="T259" s="98"/>
      <c r="U259" s="98"/>
      <c r="V259" s="98">
        <v>1669</v>
      </c>
      <c r="W259" s="98"/>
      <c r="X259" s="101">
        <f t="shared" si="16"/>
        <v>0.91</v>
      </c>
      <c r="Y259" s="111">
        <f>+V259</f>
        <v>1669</v>
      </c>
      <c r="Z259" s="106" t="str">
        <f t="shared" si="15"/>
        <v>F</v>
      </c>
      <c r="AA259" s="174"/>
      <c r="AB259" s="174"/>
      <c r="AC259" s="174"/>
      <c r="AD259" s="174"/>
      <c r="AE259" s="174"/>
      <c r="AF259" s="174"/>
      <c r="AG259" s="174"/>
      <c r="AH259" s="174"/>
      <c r="AI259" s="174"/>
      <c r="AJ259" s="174"/>
      <c r="AK259" s="174"/>
      <c r="AL259" s="174"/>
    </row>
    <row r="260" spans="1:38" s="107" customFormat="1">
      <c r="A260" s="97">
        <v>181</v>
      </c>
      <c r="B260" s="98" t="s">
        <v>766</v>
      </c>
      <c r="C260" s="98">
        <v>2009</v>
      </c>
      <c r="D260" s="112" t="s">
        <v>767</v>
      </c>
      <c r="E260" s="112" t="s">
        <v>49</v>
      </c>
      <c r="F260" s="119" t="s">
        <v>780</v>
      </c>
      <c r="G260" s="98" t="s">
        <v>786</v>
      </c>
      <c r="H260" s="108" t="s">
        <v>159</v>
      </c>
      <c r="I260" s="108"/>
      <c r="J260" s="115" t="s">
        <v>1013</v>
      </c>
      <c r="K260" s="115" t="s">
        <v>1096</v>
      </c>
      <c r="L260" s="119" t="s">
        <v>782</v>
      </c>
      <c r="M260" s="119" t="s">
        <v>164</v>
      </c>
      <c r="N260" s="119"/>
      <c r="O260" s="119" t="s">
        <v>787</v>
      </c>
      <c r="P260" s="119"/>
      <c r="Q260" s="119"/>
      <c r="R260" s="98"/>
      <c r="S260" s="98"/>
      <c r="T260" s="98"/>
      <c r="U260" s="130">
        <v>0.90993638700000001</v>
      </c>
      <c r="V260" s="130"/>
      <c r="W260" s="130"/>
      <c r="X260" s="101">
        <f t="shared" si="16"/>
        <v>0.90993638700000001</v>
      </c>
      <c r="Y260" s="223">
        <v>1609.532727</v>
      </c>
      <c r="Z260" s="106" t="str">
        <f t="shared" si="15"/>
        <v>F</v>
      </c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174"/>
      <c r="AL260" s="174"/>
    </row>
    <row r="261" spans="1:38" s="107" customFormat="1">
      <c r="A261" s="97">
        <v>174</v>
      </c>
      <c r="B261" s="98" t="s">
        <v>697</v>
      </c>
      <c r="C261" s="98">
        <v>2009</v>
      </c>
      <c r="D261" s="108" t="s">
        <v>698</v>
      </c>
      <c r="E261" s="99" t="s">
        <v>20</v>
      </c>
      <c r="F261" s="100" t="s">
        <v>701</v>
      </c>
      <c r="G261" s="98" t="s">
        <v>705</v>
      </c>
      <c r="H261" s="98" t="s">
        <v>159</v>
      </c>
      <c r="I261" s="98"/>
      <c r="J261" s="174" t="s">
        <v>1013</v>
      </c>
      <c r="K261" s="98" t="s">
        <v>1087</v>
      </c>
      <c r="L261" s="98" t="s">
        <v>464</v>
      </c>
      <c r="M261" s="109"/>
      <c r="N261" s="109"/>
      <c r="O261" s="98" t="s">
        <v>464</v>
      </c>
      <c r="P261" s="103"/>
      <c r="Q261" s="103"/>
      <c r="R261" s="98"/>
      <c r="S261" s="98"/>
      <c r="T261" s="98"/>
      <c r="U261" s="104">
        <v>0.90600000000000003</v>
      </c>
      <c r="V261" s="175"/>
      <c r="W261" s="175"/>
      <c r="X261" s="101">
        <f t="shared" si="16"/>
        <v>0.90600000000000003</v>
      </c>
      <c r="Y261" s="221">
        <v>1579</v>
      </c>
      <c r="Z261" s="106" t="str">
        <f t="shared" si="15"/>
        <v>F</v>
      </c>
      <c r="AA261" s="174"/>
      <c r="AB261" s="174"/>
      <c r="AC261" s="174"/>
      <c r="AD261" s="174"/>
      <c r="AE261" s="174"/>
      <c r="AF261" s="174"/>
      <c r="AG261" s="174"/>
      <c r="AH261" s="174"/>
      <c r="AI261" s="174"/>
      <c r="AJ261" s="174"/>
      <c r="AK261" s="174"/>
      <c r="AL261" s="174"/>
    </row>
    <row r="262" spans="1:38" s="107" customFormat="1">
      <c r="A262" s="97">
        <v>181</v>
      </c>
      <c r="B262" s="98" t="s">
        <v>766</v>
      </c>
      <c r="C262" s="98">
        <v>2009</v>
      </c>
      <c r="D262" s="112" t="s">
        <v>767</v>
      </c>
      <c r="E262" s="112" t="s">
        <v>49</v>
      </c>
      <c r="F262" s="119" t="s">
        <v>780</v>
      </c>
      <c r="G262" s="98" t="s">
        <v>781</v>
      </c>
      <c r="H262" s="108" t="s">
        <v>95</v>
      </c>
      <c r="I262" s="108"/>
      <c r="J262" s="108" t="s">
        <v>1013</v>
      </c>
      <c r="K262" s="108" t="s">
        <v>1096</v>
      </c>
      <c r="L262" s="119" t="s">
        <v>782</v>
      </c>
      <c r="M262" s="119" t="s">
        <v>783</v>
      </c>
      <c r="N262" s="119" t="s">
        <v>784</v>
      </c>
      <c r="O262" s="119" t="s">
        <v>785</v>
      </c>
      <c r="P262" s="119"/>
      <c r="Q262" s="119"/>
      <c r="R262" s="98"/>
      <c r="S262" s="98"/>
      <c r="T262" s="98"/>
      <c r="U262" s="130">
        <v>0.90572357999999997</v>
      </c>
      <c r="V262" s="130"/>
      <c r="W262" s="130"/>
      <c r="X262" s="101">
        <f t="shared" si="16"/>
        <v>0.90572357999999997</v>
      </c>
      <c r="Y262" s="223">
        <v>1600.905542</v>
      </c>
      <c r="Z262" s="106" t="str">
        <f t="shared" si="15"/>
        <v>F</v>
      </c>
      <c r="AA262" s="174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174"/>
      <c r="AL262" s="174"/>
    </row>
    <row r="263" spans="1:38" s="107" customFormat="1">
      <c r="A263" s="174"/>
      <c r="B263" s="123" t="s">
        <v>766</v>
      </c>
      <c r="C263" s="98">
        <v>2013</v>
      </c>
      <c r="D263" s="101"/>
      <c r="E263" s="99" t="s">
        <v>172</v>
      </c>
      <c r="F263" s="98">
        <v>2011</v>
      </c>
      <c r="G263" s="98" t="s">
        <v>631</v>
      </c>
      <c r="H263" s="101" t="s">
        <v>159</v>
      </c>
      <c r="I263" s="101" t="s">
        <v>1014</v>
      </c>
      <c r="J263" s="115" t="s">
        <v>1013</v>
      </c>
      <c r="K263" s="115" t="s">
        <v>1096</v>
      </c>
      <c r="L263" s="98" t="s">
        <v>975</v>
      </c>
      <c r="M263" s="174"/>
      <c r="N263" s="174"/>
      <c r="O263" s="101" t="s">
        <v>976</v>
      </c>
      <c r="P263" s="174"/>
      <c r="Q263" s="174"/>
      <c r="R263" s="174"/>
      <c r="S263" s="174"/>
      <c r="T263" s="174"/>
      <c r="U263" s="98">
        <v>0.90400000000000003</v>
      </c>
      <c r="V263" s="174"/>
      <c r="W263" s="174"/>
      <c r="X263" s="101">
        <f t="shared" si="16"/>
        <v>0.90400000000000003</v>
      </c>
      <c r="Y263" s="111">
        <v>1642</v>
      </c>
      <c r="Z263" s="106" t="str">
        <f t="shared" si="15"/>
        <v>F</v>
      </c>
      <c r="AA263" s="174"/>
      <c r="AB263" s="174"/>
      <c r="AC263" s="174"/>
      <c r="AD263" s="174"/>
      <c r="AE263" s="174"/>
      <c r="AF263" s="174"/>
      <c r="AG263" s="174"/>
      <c r="AH263" s="174"/>
      <c r="AI263" s="174"/>
      <c r="AJ263" s="174"/>
      <c r="AK263" s="174"/>
      <c r="AL263" s="174"/>
    </row>
    <row r="264" spans="1:38" s="107" customFormat="1">
      <c r="A264" s="97">
        <v>181</v>
      </c>
      <c r="B264" s="98" t="s">
        <v>766</v>
      </c>
      <c r="C264" s="98">
        <v>2009</v>
      </c>
      <c r="D264" s="112" t="s">
        <v>767</v>
      </c>
      <c r="E264" s="113" t="s">
        <v>49</v>
      </c>
      <c r="F264" s="114" t="s">
        <v>780</v>
      </c>
      <c r="G264" s="98" t="s">
        <v>786</v>
      </c>
      <c r="H264" s="115" t="s">
        <v>159</v>
      </c>
      <c r="I264" s="115"/>
      <c r="J264" s="115" t="s">
        <v>1013</v>
      </c>
      <c r="K264" s="115" t="s">
        <v>1096</v>
      </c>
      <c r="L264" s="114" t="s">
        <v>782</v>
      </c>
      <c r="M264" s="114" t="s">
        <v>164</v>
      </c>
      <c r="N264" s="114"/>
      <c r="O264" s="114" t="s">
        <v>813</v>
      </c>
      <c r="P264" s="114"/>
      <c r="Q264" s="114"/>
      <c r="R264" s="98"/>
      <c r="S264" s="98"/>
      <c r="T264" s="98"/>
      <c r="U264" s="129">
        <v>0.90398989900000004</v>
      </c>
      <c r="V264" s="129"/>
      <c r="W264" s="129"/>
      <c r="X264" s="101">
        <f t="shared" si="16"/>
        <v>0.90398989900000004</v>
      </c>
      <c r="Y264" s="222">
        <v>1584.390349</v>
      </c>
      <c r="Z264" s="106" t="str">
        <f t="shared" si="15"/>
        <v>F</v>
      </c>
      <c r="AA264" s="174"/>
      <c r="AB264" s="174"/>
      <c r="AC264" s="174"/>
      <c r="AD264" s="174"/>
      <c r="AE264" s="174"/>
      <c r="AF264" s="174"/>
      <c r="AG264" s="174"/>
      <c r="AH264" s="174"/>
      <c r="AI264" s="174"/>
      <c r="AJ264" s="174"/>
      <c r="AK264" s="174"/>
      <c r="AL264" s="174"/>
    </row>
    <row r="265" spans="1:38" s="107" customFormat="1">
      <c r="A265" s="174"/>
      <c r="B265" s="123" t="s">
        <v>766</v>
      </c>
      <c r="C265" s="98">
        <v>2013</v>
      </c>
      <c r="D265" s="101"/>
      <c r="E265" s="99" t="s">
        <v>172</v>
      </c>
      <c r="F265" s="98">
        <v>2011</v>
      </c>
      <c r="G265" s="98" t="s">
        <v>631</v>
      </c>
      <c r="H265" s="101" t="s">
        <v>159</v>
      </c>
      <c r="I265" s="101" t="s">
        <v>1014</v>
      </c>
      <c r="J265" s="115" t="s">
        <v>1013</v>
      </c>
      <c r="K265" s="98" t="s">
        <v>1091</v>
      </c>
      <c r="L265" s="98" t="s">
        <v>974</v>
      </c>
      <c r="M265" s="174"/>
      <c r="N265" s="174"/>
      <c r="O265" s="101" t="s">
        <v>972</v>
      </c>
      <c r="P265" s="174"/>
      <c r="Q265" s="174"/>
      <c r="R265" s="174"/>
      <c r="S265" s="174"/>
      <c r="T265" s="174"/>
      <c r="U265" s="98">
        <v>0.90300000000000002</v>
      </c>
      <c r="V265" s="174"/>
      <c r="W265" s="174"/>
      <c r="X265" s="101">
        <f t="shared" si="16"/>
        <v>0.90300000000000002</v>
      </c>
      <c r="Y265" s="111">
        <v>1641</v>
      </c>
      <c r="Z265" s="106" t="str">
        <f t="shared" si="15"/>
        <v>F</v>
      </c>
      <c r="AA265" s="174"/>
      <c r="AB265" s="174"/>
      <c r="AC265" s="174"/>
      <c r="AD265" s="174"/>
      <c r="AE265" s="174"/>
      <c r="AF265" s="174"/>
      <c r="AG265" s="174"/>
      <c r="AH265" s="174"/>
      <c r="AI265" s="174"/>
      <c r="AJ265" s="174"/>
      <c r="AK265" s="174"/>
      <c r="AL265" s="174"/>
    </row>
    <row r="266" spans="1:38" s="107" customFormat="1">
      <c r="A266" s="174"/>
      <c r="B266" s="123" t="s">
        <v>766</v>
      </c>
      <c r="C266" s="98">
        <v>2013</v>
      </c>
      <c r="D266" s="101"/>
      <c r="E266" s="99" t="s">
        <v>172</v>
      </c>
      <c r="F266" s="98">
        <v>2011</v>
      </c>
      <c r="G266" s="98" t="s">
        <v>631</v>
      </c>
      <c r="H266" s="101" t="s">
        <v>159</v>
      </c>
      <c r="I266" s="101" t="s">
        <v>1014</v>
      </c>
      <c r="J266" s="115" t="s">
        <v>1013</v>
      </c>
      <c r="K266" s="98" t="s">
        <v>1091</v>
      </c>
      <c r="L266" s="98" t="s">
        <v>975</v>
      </c>
      <c r="M266" s="174"/>
      <c r="N266" s="174"/>
      <c r="O266" s="101" t="s">
        <v>976</v>
      </c>
      <c r="P266" s="174"/>
      <c r="Q266" s="174"/>
      <c r="R266" s="174"/>
      <c r="S266" s="174"/>
      <c r="T266" s="174"/>
      <c r="U266" s="98">
        <v>0.90300000000000002</v>
      </c>
      <c r="V266" s="174"/>
      <c r="W266" s="174"/>
      <c r="X266" s="101">
        <f t="shared" si="16"/>
        <v>0.90300000000000002</v>
      </c>
      <c r="Y266" s="111">
        <v>1642</v>
      </c>
      <c r="Z266" s="106" t="str">
        <f t="shared" si="15"/>
        <v>F</v>
      </c>
      <c r="AA266" s="174"/>
      <c r="AB266" s="174"/>
      <c r="AC266" s="174"/>
      <c r="AD266" s="174"/>
      <c r="AE266" s="174"/>
      <c r="AF266" s="174"/>
      <c r="AG266" s="174"/>
      <c r="AH266" s="174"/>
      <c r="AI266" s="174"/>
      <c r="AJ266" s="174"/>
      <c r="AK266" s="174"/>
      <c r="AL266" s="174"/>
    </row>
    <row r="267" spans="1:38" s="107" customFormat="1">
      <c r="A267" s="174"/>
      <c r="B267" s="123" t="s">
        <v>766</v>
      </c>
      <c r="C267" s="98">
        <v>2013</v>
      </c>
      <c r="D267" s="101"/>
      <c r="E267" s="99" t="s">
        <v>172</v>
      </c>
      <c r="F267" s="98">
        <v>2011</v>
      </c>
      <c r="G267" s="98" t="s">
        <v>631</v>
      </c>
      <c r="H267" s="101" t="s">
        <v>159</v>
      </c>
      <c r="I267" s="101" t="s">
        <v>1014</v>
      </c>
      <c r="J267" s="115" t="s">
        <v>1013</v>
      </c>
      <c r="K267" s="98" t="s">
        <v>1091</v>
      </c>
      <c r="L267" s="98" t="s">
        <v>978</v>
      </c>
      <c r="M267" s="174"/>
      <c r="N267" s="174"/>
      <c r="O267" s="101" t="s">
        <v>977</v>
      </c>
      <c r="P267" s="174"/>
      <c r="Q267" s="174"/>
      <c r="R267" s="174"/>
      <c r="S267" s="174"/>
      <c r="T267" s="174"/>
      <c r="U267" s="98">
        <v>0.90200000000000002</v>
      </c>
      <c r="V267" s="174"/>
      <c r="W267" s="174"/>
      <c r="X267" s="101">
        <f t="shared" si="16"/>
        <v>0.90200000000000002</v>
      </c>
      <c r="Y267" s="111">
        <v>1639</v>
      </c>
      <c r="Z267" s="106" t="str">
        <f t="shared" si="15"/>
        <v>F</v>
      </c>
      <c r="AA267" s="174"/>
      <c r="AB267" s="174"/>
      <c r="AC267" s="174"/>
      <c r="AD267" s="174"/>
      <c r="AE267" s="174"/>
      <c r="AF267" s="174"/>
      <c r="AG267" s="174"/>
      <c r="AH267" s="174"/>
      <c r="AI267" s="174"/>
      <c r="AJ267" s="174"/>
      <c r="AK267" s="174"/>
      <c r="AL267" s="174"/>
    </row>
    <row r="268" spans="1:38" s="107" customFormat="1">
      <c r="A268" s="174"/>
      <c r="B268" s="123" t="s">
        <v>766</v>
      </c>
      <c r="C268" s="98">
        <v>2013</v>
      </c>
      <c r="D268" s="101"/>
      <c r="E268" s="99" t="s">
        <v>172</v>
      </c>
      <c r="F268" s="98">
        <v>2011</v>
      </c>
      <c r="G268" s="98" t="s">
        <v>631</v>
      </c>
      <c r="H268" s="101" t="s">
        <v>159</v>
      </c>
      <c r="I268" s="101" t="s">
        <v>1014</v>
      </c>
      <c r="J268" s="115" t="s">
        <v>1013</v>
      </c>
      <c r="K268" s="98" t="s">
        <v>1091</v>
      </c>
      <c r="L268" s="98" t="s">
        <v>975</v>
      </c>
      <c r="M268" s="174"/>
      <c r="N268" s="174"/>
      <c r="O268" s="101" t="s">
        <v>976</v>
      </c>
      <c r="P268" s="174"/>
      <c r="Q268" s="174"/>
      <c r="R268" s="174"/>
      <c r="S268" s="174"/>
      <c r="T268" s="174"/>
      <c r="U268" s="98">
        <v>0.90200000000000002</v>
      </c>
      <c r="V268" s="174"/>
      <c r="W268" s="174"/>
      <c r="X268" s="101">
        <f t="shared" si="16"/>
        <v>0.90200000000000002</v>
      </c>
      <c r="Y268" s="111">
        <v>1641</v>
      </c>
      <c r="Z268" s="106" t="str">
        <f t="shared" si="15"/>
        <v>F</v>
      </c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  <c r="AL268" s="174"/>
    </row>
    <row r="269" spans="1:38" s="107" customFormat="1">
      <c r="A269" s="174"/>
      <c r="B269" s="123" t="s">
        <v>766</v>
      </c>
      <c r="C269" s="98">
        <v>2013</v>
      </c>
      <c r="D269" s="101"/>
      <c r="E269" s="99" t="s">
        <v>172</v>
      </c>
      <c r="F269" s="98">
        <v>2011</v>
      </c>
      <c r="G269" s="98" t="s">
        <v>631</v>
      </c>
      <c r="H269" s="101" t="s">
        <v>159</v>
      </c>
      <c r="I269" s="101" t="s">
        <v>1014</v>
      </c>
      <c r="J269" s="115" t="s">
        <v>1013</v>
      </c>
      <c r="K269" s="98" t="s">
        <v>1091</v>
      </c>
      <c r="L269" s="98" t="s">
        <v>975</v>
      </c>
      <c r="M269" s="174"/>
      <c r="N269" s="174"/>
      <c r="O269" s="101" t="s">
        <v>976</v>
      </c>
      <c r="P269" s="174"/>
      <c r="Q269" s="174"/>
      <c r="R269" s="174"/>
      <c r="S269" s="174"/>
      <c r="T269" s="174"/>
      <c r="U269" s="98">
        <v>0.90100000000000002</v>
      </c>
      <c r="V269" s="174"/>
      <c r="W269" s="174"/>
      <c r="X269" s="101">
        <f t="shared" si="16"/>
        <v>0.90100000000000002</v>
      </c>
      <c r="Y269" s="111">
        <v>1636</v>
      </c>
      <c r="Z269" s="106" t="str">
        <f t="shared" si="15"/>
        <v>F</v>
      </c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  <c r="AL269" s="174"/>
    </row>
    <row r="270" spans="1:38" s="107" customFormat="1">
      <c r="A270" s="174"/>
      <c r="B270" s="123" t="s">
        <v>766</v>
      </c>
      <c r="C270" s="98">
        <v>2013</v>
      </c>
      <c r="D270" s="101"/>
      <c r="E270" s="99" t="s">
        <v>172</v>
      </c>
      <c r="F270" s="98">
        <v>2011</v>
      </c>
      <c r="G270" s="98" t="s">
        <v>631</v>
      </c>
      <c r="H270" s="101" t="s">
        <v>159</v>
      </c>
      <c r="I270" s="101" t="s">
        <v>1014</v>
      </c>
      <c r="J270" s="115" t="s">
        <v>1013</v>
      </c>
      <c r="K270" s="98" t="s">
        <v>1091</v>
      </c>
      <c r="L270" s="98" t="s">
        <v>974</v>
      </c>
      <c r="M270" s="174"/>
      <c r="N270" s="174"/>
      <c r="O270" s="101" t="s">
        <v>972</v>
      </c>
      <c r="P270" s="174"/>
      <c r="Q270" s="174"/>
      <c r="R270" s="174"/>
      <c r="S270" s="174"/>
      <c r="T270" s="174"/>
      <c r="U270" s="98">
        <v>0.90100000000000002</v>
      </c>
      <c r="V270" s="174"/>
      <c r="W270" s="174"/>
      <c r="X270" s="101">
        <f t="shared" si="16"/>
        <v>0.90100000000000002</v>
      </c>
      <c r="Y270" s="111">
        <v>1637</v>
      </c>
      <c r="Z270" s="106" t="str">
        <f t="shared" si="15"/>
        <v>F</v>
      </c>
      <c r="AA270" s="174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174"/>
      <c r="AL270" s="174"/>
    </row>
    <row r="271" spans="1:38" s="107" customFormat="1">
      <c r="A271" s="174"/>
      <c r="B271" s="123" t="s">
        <v>766</v>
      </c>
      <c r="C271" s="98">
        <v>2013</v>
      </c>
      <c r="D271" s="101"/>
      <c r="E271" s="99" t="s">
        <v>172</v>
      </c>
      <c r="F271" s="98">
        <v>2011</v>
      </c>
      <c r="G271" s="98" t="s">
        <v>631</v>
      </c>
      <c r="H271" s="101" t="s">
        <v>159</v>
      </c>
      <c r="I271" s="101" t="s">
        <v>1014</v>
      </c>
      <c r="J271" s="115" t="s">
        <v>1013</v>
      </c>
      <c r="K271" s="98" t="s">
        <v>1091</v>
      </c>
      <c r="L271" s="98" t="s">
        <v>974</v>
      </c>
      <c r="M271" s="174"/>
      <c r="N271" s="174"/>
      <c r="O271" s="101" t="s">
        <v>972</v>
      </c>
      <c r="P271" s="174"/>
      <c r="Q271" s="174"/>
      <c r="R271" s="174"/>
      <c r="S271" s="174"/>
      <c r="T271" s="174"/>
      <c r="U271" s="98">
        <v>0.90100000000000002</v>
      </c>
      <c r="V271" s="174"/>
      <c r="W271" s="174"/>
      <c r="X271" s="101">
        <f t="shared" si="16"/>
        <v>0.90100000000000002</v>
      </c>
      <c r="Y271" s="111">
        <v>1637</v>
      </c>
      <c r="Z271" s="106" t="str">
        <f t="shared" ref="Z271:Z302" si="17">IF(X271&lt;&gt;"",IF(X271&lt;0.9,"S","F"),"")</f>
        <v>F</v>
      </c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  <c r="AL271" s="174"/>
    </row>
    <row r="272" spans="1:38" s="107" customFormat="1">
      <c r="A272" s="174"/>
      <c r="B272" s="182" t="s">
        <v>968</v>
      </c>
      <c r="C272" s="132">
        <v>1996</v>
      </c>
      <c r="D272" s="174"/>
      <c r="E272" s="180" t="s">
        <v>172</v>
      </c>
      <c r="F272" s="174"/>
      <c r="G272" s="174"/>
      <c r="H272" s="182" t="s">
        <v>95</v>
      </c>
      <c r="I272" s="182"/>
      <c r="J272" s="101" t="s">
        <v>1013</v>
      </c>
      <c r="K272" s="182" t="s">
        <v>1002</v>
      </c>
      <c r="L272" s="182" t="s">
        <v>1002</v>
      </c>
      <c r="M272" s="182" t="s">
        <v>1003</v>
      </c>
      <c r="N272" s="182"/>
      <c r="O272" s="182" t="s">
        <v>1004</v>
      </c>
      <c r="P272" s="174"/>
      <c r="Q272" s="174"/>
      <c r="R272" s="174"/>
      <c r="S272" s="174"/>
      <c r="T272" s="174"/>
      <c r="U272" s="174">
        <v>0.9</v>
      </c>
      <c r="V272" s="174">
        <f>789.6*44/12/2</f>
        <v>1447.6000000000001</v>
      </c>
      <c r="W272" s="174"/>
      <c r="X272" s="101">
        <f t="shared" si="16"/>
        <v>0.9</v>
      </c>
      <c r="Y272" s="230">
        <f>789.6*44/12/2</f>
        <v>1447.6000000000001</v>
      </c>
      <c r="Z272" s="106" t="str">
        <f t="shared" si="17"/>
        <v>F</v>
      </c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</row>
    <row r="273" spans="1:38" s="107" customFormat="1">
      <c r="A273" s="97"/>
      <c r="B273" s="258" t="s">
        <v>1276</v>
      </c>
      <c r="C273" s="259">
        <v>1989</v>
      </c>
      <c r="D273" s="101"/>
      <c r="E273" s="103" t="s">
        <v>49</v>
      </c>
      <c r="F273" s="98"/>
      <c r="G273" s="98"/>
      <c r="H273" s="98"/>
      <c r="I273" s="98"/>
      <c r="J273" s="292" t="s">
        <v>1013</v>
      </c>
      <c r="K273" s="292" t="s">
        <v>1002</v>
      </c>
      <c r="L273" s="98"/>
      <c r="M273" s="98"/>
      <c r="N273" s="98"/>
      <c r="O273" s="107" t="s">
        <v>1229</v>
      </c>
      <c r="P273" s="98"/>
      <c r="Q273" s="98"/>
      <c r="R273" s="107">
        <v>0.9</v>
      </c>
      <c r="S273" s="98"/>
      <c r="T273" s="98"/>
      <c r="U273" s="98"/>
      <c r="V273" s="98"/>
      <c r="W273" s="98"/>
      <c r="X273" s="101">
        <f t="shared" si="16"/>
        <v>0.9</v>
      </c>
      <c r="Y273" s="107">
        <v>1659</v>
      </c>
      <c r="Z273" s="106" t="str">
        <f t="shared" si="17"/>
        <v>F</v>
      </c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</row>
    <row r="274" spans="1:38" s="107" customFormat="1">
      <c r="A274" s="97">
        <v>203</v>
      </c>
      <c r="B274" s="123" t="s">
        <v>940</v>
      </c>
      <c r="C274" s="98">
        <v>2011</v>
      </c>
      <c r="D274" s="123" t="s">
        <v>941</v>
      </c>
      <c r="E274" s="99" t="s">
        <v>20</v>
      </c>
      <c r="F274" s="98">
        <v>2009</v>
      </c>
      <c r="G274" s="98" t="s">
        <v>326</v>
      </c>
      <c r="H274" s="98"/>
      <c r="I274" s="98"/>
      <c r="J274" s="174" t="s">
        <v>1013</v>
      </c>
      <c r="K274" s="98" t="s">
        <v>1091</v>
      </c>
      <c r="L274" s="98" t="s">
        <v>725</v>
      </c>
      <c r="M274" s="98"/>
      <c r="N274" s="98"/>
      <c r="O274" s="98">
        <v>37</v>
      </c>
      <c r="P274" s="98"/>
      <c r="Q274" s="98"/>
      <c r="R274" s="98"/>
      <c r="S274" s="98"/>
      <c r="T274" s="98"/>
      <c r="U274" s="98">
        <v>0.9</v>
      </c>
      <c r="V274" s="98"/>
      <c r="W274" s="98"/>
      <c r="X274" s="101">
        <f t="shared" si="16"/>
        <v>0.9</v>
      </c>
      <c r="Y274" s="111">
        <v>1551</v>
      </c>
      <c r="Z274" s="106" t="str">
        <f t="shared" si="17"/>
        <v>F</v>
      </c>
      <c r="AA274" s="174"/>
      <c r="AB274" s="174"/>
      <c r="AC274" s="174"/>
      <c r="AD274" s="174"/>
      <c r="AE274" s="174"/>
      <c r="AF274" s="174"/>
      <c r="AG274" s="174"/>
      <c r="AH274" s="174"/>
      <c r="AI274" s="174"/>
      <c r="AJ274" s="174"/>
      <c r="AK274" s="174"/>
      <c r="AL274" s="174"/>
    </row>
    <row r="275" spans="1:38" s="107" customFormat="1">
      <c r="A275" s="174"/>
      <c r="B275" s="123" t="s">
        <v>766</v>
      </c>
      <c r="C275" s="98">
        <v>2013</v>
      </c>
      <c r="D275" s="101"/>
      <c r="E275" s="99" t="s">
        <v>172</v>
      </c>
      <c r="F275" s="98">
        <v>2011</v>
      </c>
      <c r="G275" s="98" t="s">
        <v>631</v>
      </c>
      <c r="H275" s="101" t="s">
        <v>159</v>
      </c>
      <c r="I275" s="101" t="s">
        <v>1014</v>
      </c>
      <c r="J275" s="115" t="s">
        <v>1013</v>
      </c>
      <c r="K275" s="98" t="s">
        <v>1091</v>
      </c>
      <c r="L275" s="98" t="s">
        <v>974</v>
      </c>
      <c r="M275" s="174"/>
      <c r="N275" s="174"/>
      <c r="O275" s="101" t="s">
        <v>972</v>
      </c>
      <c r="P275" s="174"/>
      <c r="Q275" s="174"/>
      <c r="R275" s="174"/>
      <c r="S275" s="174"/>
      <c r="T275" s="174"/>
      <c r="U275" s="98">
        <v>0.9</v>
      </c>
      <c r="V275" s="174"/>
      <c r="W275" s="174"/>
      <c r="X275" s="101">
        <f t="shared" si="16"/>
        <v>0.9</v>
      </c>
      <c r="Y275" s="111">
        <v>1637</v>
      </c>
      <c r="Z275" s="106" t="str">
        <f t="shared" si="17"/>
        <v>F</v>
      </c>
      <c r="AA275" s="174"/>
      <c r="AB275" s="174"/>
      <c r="AC275" s="174"/>
      <c r="AD275" s="174"/>
      <c r="AE275" s="174"/>
      <c r="AF275" s="174"/>
      <c r="AG275" s="174"/>
      <c r="AH275" s="174"/>
      <c r="AI275" s="174"/>
      <c r="AJ275" s="174"/>
      <c r="AK275" s="174"/>
      <c r="AL275" s="174"/>
    </row>
    <row r="276" spans="1:38" s="107" customFormat="1">
      <c r="A276" s="97"/>
      <c r="B276" s="258" t="s">
        <v>1276</v>
      </c>
      <c r="C276" s="259">
        <v>1989</v>
      </c>
      <c r="D276" s="101"/>
      <c r="E276" s="103" t="s">
        <v>49</v>
      </c>
      <c r="F276" s="98"/>
      <c r="G276" s="98"/>
      <c r="H276" s="98"/>
      <c r="I276" s="98"/>
      <c r="J276" s="292" t="s">
        <v>1013</v>
      </c>
      <c r="K276" s="292" t="s">
        <v>1256</v>
      </c>
      <c r="L276" s="98"/>
      <c r="M276" s="98"/>
      <c r="N276" s="98"/>
      <c r="O276" s="107" t="s">
        <v>1274</v>
      </c>
      <c r="P276" s="98"/>
      <c r="Q276" s="98"/>
      <c r="R276" s="107">
        <v>0.9</v>
      </c>
      <c r="S276" s="98"/>
      <c r="T276" s="98"/>
      <c r="U276" s="98"/>
      <c r="V276" s="98"/>
      <c r="W276" s="98"/>
      <c r="X276" s="101">
        <f t="shared" si="16"/>
        <v>0.9</v>
      </c>
      <c r="Y276" s="107">
        <v>1651</v>
      </c>
      <c r="Z276" s="106" t="str">
        <f t="shared" si="17"/>
        <v>F</v>
      </c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  <c r="AL276" s="174"/>
    </row>
    <row r="277" spans="1:38" s="107" customFormat="1">
      <c r="A277" s="97">
        <v>35</v>
      </c>
      <c r="B277" s="103" t="s">
        <v>45</v>
      </c>
      <c r="C277" s="103">
        <v>1982</v>
      </c>
      <c r="D277" s="103" t="s">
        <v>46</v>
      </c>
      <c r="E277" s="99" t="s">
        <v>49</v>
      </c>
      <c r="F277" s="98" t="s">
        <v>50</v>
      </c>
      <c r="G277" s="98" t="s">
        <v>51</v>
      </c>
      <c r="H277" s="98" t="s">
        <v>23</v>
      </c>
      <c r="I277" s="98"/>
      <c r="J277" s="98" t="s">
        <v>1013</v>
      </c>
      <c r="K277" s="98" t="s">
        <v>1134</v>
      </c>
      <c r="L277" s="98" t="s">
        <v>52</v>
      </c>
      <c r="M277" s="98"/>
      <c r="N277" s="98"/>
      <c r="O277" s="98" t="s">
        <v>67</v>
      </c>
      <c r="P277" s="98">
        <v>0.9</v>
      </c>
      <c r="Q277" s="98"/>
      <c r="R277" s="98">
        <f>+P277</f>
        <v>0.9</v>
      </c>
      <c r="S277" s="98"/>
      <c r="T277" s="98"/>
      <c r="U277" s="98"/>
      <c r="V277" s="98">
        <v>1644</v>
      </c>
      <c r="W277" s="98"/>
      <c r="X277" s="101">
        <f t="shared" si="16"/>
        <v>0.9</v>
      </c>
      <c r="Y277" s="111">
        <f>+V277</f>
        <v>1644</v>
      </c>
      <c r="Z277" s="106" t="str">
        <f t="shared" si="17"/>
        <v>F</v>
      </c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174"/>
      <c r="AL277" s="174"/>
    </row>
    <row r="278" spans="1:38" s="107" customFormat="1">
      <c r="A278" s="97">
        <v>46</v>
      </c>
      <c r="B278" s="103" t="s">
        <v>45</v>
      </c>
      <c r="C278" s="103">
        <v>1984</v>
      </c>
      <c r="D278" s="103" t="s">
        <v>113</v>
      </c>
      <c r="E278" s="99" t="s">
        <v>49</v>
      </c>
      <c r="F278" s="98">
        <v>1983</v>
      </c>
      <c r="G278" s="98" t="s">
        <v>116</v>
      </c>
      <c r="H278" s="98" t="s">
        <v>95</v>
      </c>
      <c r="I278" s="98"/>
      <c r="J278" s="98" t="s">
        <v>1013</v>
      </c>
      <c r="K278" s="98" t="s">
        <v>1134</v>
      </c>
      <c r="L278" s="98" t="s">
        <v>117</v>
      </c>
      <c r="M278" s="98"/>
      <c r="N278" s="98"/>
      <c r="O278" s="98" t="s">
        <v>131</v>
      </c>
      <c r="P278" s="98"/>
      <c r="Q278" s="98"/>
      <c r="R278" s="98">
        <v>0.9</v>
      </c>
      <c r="S278" s="98"/>
      <c r="T278" s="98"/>
      <c r="U278" s="98"/>
      <c r="V278" s="98"/>
      <c r="W278" s="98"/>
      <c r="X278" s="101">
        <f t="shared" si="16"/>
        <v>0.9</v>
      </c>
      <c r="Y278" s="111">
        <v>1659</v>
      </c>
      <c r="Z278" s="106" t="str">
        <f t="shared" si="17"/>
        <v>F</v>
      </c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174"/>
      <c r="AL278" s="174"/>
    </row>
    <row r="279" spans="1:38" s="107" customFormat="1">
      <c r="A279" s="97">
        <v>181</v>
      </c>
      <c r="B279" s="98" t="s">
        <v>766</v>
      </c>
      <c r="C279" s="98">
        <v>2009</v>
      </c>
      <c r="D279" s="112" t="s">
        <v>767</v>
      </c>
      <c r="E279" s="113" t="s">
        <v>49</v>
      </c>
      <c r="F279" s="114" t="s">
        <v>780</v>
      </c>
      <c r="G279" s="98" t="s">
        <v>781</v>
      </c>
      <c r="H279" s="115" t="s">
        <v>95</v>
      </c>
      <c r="I279" s="115"/>
      <c r="J279" s="108" t="s">
        <v>1013</v>
      </c>
      <c r="K279" s="108" t="s">
        <v>1096</v>
      </c>
      <c r="L279" s="114" t="s">
        <v>782</v>
      </c>
      <c r="M279" s="114" t="s">
        <v>783</v>
      </c>
      <c r="N279" s="114" t="s">
        <v>784</v>
      </c>
      <c r="O279" s="114" t="s">
        <v>816</v>
      </c>
      <c r="P279" s="114"/>
      <c r="Q279" s="114"/>
      <c r="R279" s="98"/>
      <c r="S279" s="98"/>
      <c r="T279" s="98"/>
      <c r="U279" s="129">
        <v>0.89980392300000001</v>
      </c>
      <c r="V279" s="129"/>
      <c r="W279" s="129"/>
      <c r="X279" s="101">
        <f t="shared" si="16"/>
        <v>0.89980392300000001</v>
      </c>
      <c r="Y279" s="222">
        <v>1603</v>
      </c>
      <c r="Z279" s="106" t="str">
        <f t="shared" si="17"/>
        <v>S</v>
      </c>
      <c r="AA279" s="174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</row>
    <row r="280" spans="1:38" s="107" customFormat="1">
      <c r="A280" s="174"/>
      <c r="B280" s="123" t="s">
        <v>766</v>
      </c>
      <c r="C280" s="98">
        <v>2013</v>
      </c>
      <c r="D280" s="101"/>
      <c r="E280" s="99" t="s">
        <v>172</v>
      </c>
      <c r="F280" s="98">
        <v>2011</v>
      </c>
      <c r="G280" s="98" t="s">
        <v>631</v>
      </c>
      <c r="H280" s="101" t="s">
        <v>159</v>
      </c>
      <c r="I280" s="101" t="s">
        <v>1014</v>
      </c>
      <c r="J280" s="115" t="s">
        <v>1013</v>
      </c>
      <c r="K280" s="98" t="s">
        <v>1091</v>
      </c>
      <c r="L280" s="98" t="s">
        <v>975</v>
      </c>
      <c r="M280" s="174"/>
      <c r="N280" s="174"/>
      <c r="O280" s="101" t="s">
        <v>976</v>
      </c>
      <c r="P280" s="174"/>
      <c r="Q280" s="174"/>
      <c r="R280" s="174"/>
      <c r="S280" s="174"/>
      <c r="T280" s="174"/>
      <c r="U280" s="98">
        <v>0.89900000000000002</v>
      </c>
      <c r="V280" s="174"/>
      <c r="W280" s="174"/>
      <c r="X280" s="101">
        <f t="shared" si="16"/>
        <v>0.89900000000000002</v>
      </c>
      <c r="Y280" s="111">
        <v>1632</v>
      </c>
      <c r="Z280" s="106" t="str">
        <f t="shared" si="17"/>
        <v>S</v>
      </c>
      <c r="AA280" s="174"/>
      <c r="AB280" s="174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</row>
    <row r="281" spans="1:38" s="107" customFormat="1">
      <c r="A281" s="174"/>
      <c r="B281" s="123" t="s">
        <v>766</v>
      </c>
      <c r="C281" s="98">
        <v>2013</v>
      </c>
      <c r="D281" s="101"/>
      <c r="E281" s="99" t="s">
        <v>172</v>
      </c>
      <c r="F281" s="98">
        <v>2011</v>
      </c>
      <c r="G281" s="98" t="s">
        <v>631</v>
      </c>
      <c r="H281" s="101" t="s">
        <v>159</v>
      </c>
      <c r="I281" s="101" t="s">
        <v>1014</v>
      </c>
      <c r="J281" s="115" t="s">
        <v>1013</v>
      </c>
      <c r="K281" s="98" t="s">
        <v>1091</v>
      </c>
      <c r="L281" s="98" t="s">
        <v>974</v>
      </c>
      <c r="M281" s="174"/>
      <c r="N281" s="174"/>
      <c r="O281" s="101" t="s">
        <v>972</v>
      </c>
      <c r="P281" s="174"/>
      <c r="Q281" s="174"/>
      <c r="R281" s="174"/>
      <c r="S281" s="174"/>
      <c r="T281" s="174"/>
      <c r="U281" s="98">
        <v>0.89800000000000002</v>
      </c>
      <c r="V281" s="174"/>
      <c r="W281" s="174"/>
      <c r="X281" s="101">
        <f t="shared" si="16"/>
        <v>0.89800000000000002</v>
      </c>
      <c r="Y281" s="111">
        <v>1631</v>
      </c>
      <c r="Z281" s="106" t="str">
        <f t="shared" si="17"/>
        <v>S</v>
      </c>
      <c r="AA281" s="174"/>
      <c r="AB281" s="174"/>
      <c r="AC281" s="174"/>
      <c r="AD281" s="174"/>
      <c r="AE281" s="174"/>
      <c r="AF281" s="174"/>
      <c r="AG281" s="174"/>
      <c r="AH281" s="174"/>
      <c r="AI281" s="174"/>
      <c r="AJ281" s="174"/>
      <c r="AK281" s="174"/>
      <c r="AL281" s="174"/>
    </row>
    <row r="282" spans="1:38" s="107" customFormat="1">
      <c r="A282" s="174"/>
      <c r="B282" s="123" t="s">
        <v>766</v>
      </c>
      <c r="C282" s="98">
        <v>2013</v>
      </c>
      <c r="D282" s="101"/>
      <c r="E282" s="99" t="s">
        <v>172</v>
      </c>
      <c r="F282" s="98">
        <v>2011</v>
      </c>
      <c r="G282" s="98" t="s">
        <v>631</v>
      </c>
      <c r="H282" s="101" t="s">
        <v>159</v>
      </c>
      <c r="I282" s="101" t="s">
        <v>1014</v>
      </c>
      <c r="J282" s="115" t="s">
        <v>1013</v>
      </c>
      <c r="K282" s="98" t="s">
        <v>1091</v>
      </c>
      <c r="L282" s="98" t="s">
        <v>978</v>
      </c>
      <c r="M282" s="174"/>
      <c r="N282" s="174"/>
      <c r="O282" s="101" t="s">
        <v>977</v>
      </c>
      <c r="P282" s="174"/>
      <c r="Q282" s="174"/>
      <c r="R282" s="174"/>
      <c r="S282" s="174"/>
      <c r="T282" s="174"/>
      <c r="U282" s="98">
        <v>0.89700000000000002</v>
      </c>
      <c r="V282" s="174"/>
      <c r="W282" s="174"/>
      <c r="X282" s="101">
        <f t="shared" si="16"/>
        <v>0.89700000000000002</v>
      </c>
      <c r="Y282" s="111">
        <v>1629</v>
      </c>
      <c r="Z282" s="106" t="str">
        <f t="shared" si="17"/>
        <v>S</v>
      </c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</row>
    <row r="283" spans="1:38" s="107" customFormat="1">
      <c r="A283" s="174"/>
      <c r="B283" s="123" t="s">
        <v>766</v>
      </c>
      <c r="C283" s="98">
        <v>2013</v>
      </c>
      <c r="D283" s="101"/>
      <c r="E283" s="99" t="s">
        <v>172</v>
      </c>
      <c r="F283" s="98">
        <v>2011</v>
      </c>
      <c r="G283" s="98" t="s">
        <v>631</v>
      </c>
      <c r="H283" s="101" t="s">
        <v>159</v>
      </c>
      <c r="I283" s="101" t="s">
        <v>1014</v>
      </c>
      <c r="J283" s="115" t="s">
        <v>1013</v>
      </c>
      <c r="K283" s="98" t="s">
        <v>1091</v>
      </c>
      <c r="L283" s="98" t="s">
        <v>975</v>
      </c>
      <c r="M283" s="174"/>
      <c r="N283" s="174"/>
      <c r="O283" s="101" t="s">
        <v>976</v>
      </c>
      <c r="P283" s="174"/>
      <c r="Q283" s="174"/>
      <c r="R283" s="174"/>
      <c r="S283" s="174"/>
      <c r="T283" s="174"/>
      <c r="U283" s="98">
        <v>0.89500000000000002</v>
      </c>
      <c r="V283" s="174"/>
      <c r="W283" s="174"/>
      <c r="X283" s="101">
        <f t="shared" si="16"/>
        <v>0.89500000000000002</v>
      </c>
      <c r="Y283" s="111">
        <v>1624</v>
      </c>
      <c r="Z283" s="106" t="str">
        <f t="shared" si="17"/>
        <v>S</v>
      </c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  <c r="AL283" s="174"/>
    </row>
    <row r="284" spans="1:38" s="107" customFormat="1">
      <c r="A284" s="174"/>
      <c r="B284" s="123" t="s">
        <v>766</v>
      </c>
      <c r="C284" s="98">
        <v>2013</v>
      </c>
      <c r="D284" s="101"/>
      <c r="E284" s="99" t="s">
        <v>172</v>
      </c>
      <c r="F284" s="98">
        <v>2011</v>
      </c>
      <c r="G284" s="98" t="s">
        <v>631</v>
      </c>
      <c r="H284" s="101" t="s">
        <v>159</v>
      </c>
      <c r="I284" s="101" t="s">
        <v>1014</v>
      </c>
      <c r="J284" s="115" t="s">
        <v>1013</v>
      </c>
      <c r="K284" s="98" t="s">
        <v>1091</v>
      </c>
      <c r="L284" s="98" t="s">
        <v>978</v>
      </c>
      <c r="M284" s="174"/>
      <c r="N284" s="174"/>
      <c r="O284" s="101" t="s">
        <v>977</v>
      </c>
      <c r="P284" s="174"/>
      <c r="Q284" s="174"/>
      <c r="R284" s="174"/>
      <c r="S284" s="174"/>
      <c r="T284" s="174"/>
      <c r="U284" s="98">
        <v>0.89500000000000002</v>
      </c>
      <c r="V284" s="174"/>
      <c r="W284" s="174"/>
      <c r="X284" s="101">
        <f t="shared" si="16"/>
        <v>0.89500000000000002</v>
      </c>
      <c r="Y284" s="111">
        <v>1625</v>
      </c>
      <c r="Z284" s="106" t="str">
        <f t="shared" si="17"/>
        <v>S</v>
      </c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174"/>
      <c r="AL284" s="174"/>
    </row>
    <row r="285" spans="1:38" s="107" customFormat="1">
      <c r="A285" s="174"/>
      <c r="B285" s="123" t="s">
        <v>766</v>
      </c>
      <c r="C285" s="98">
        <v>2013</v>
      </c>
      <c r="D285" s="101"/>
      <c r="E285" s="99" t="s">
        <v>172</v>
      </c>
      <c r="F285" s="98">
        <v>2011</v>
      </c>
      <c r="G285" s="98" t="s">
        <v>631</v>
      </c>
      <c r="H285" s="101" t="s">
        <v>159</v>
      </c>
      <c r="I285" s="101" t="s">
        <v>1014</v>
      </c>
      <c r="J285" s="115" t="s">
        <v>1013</v>
      </c>
      <c r="K285" s="98" t="s">
        <v>1091</v>
      </c>
      <c r="L285" s="98" t="s">
        <v>975</v>
      </c>
      <c r="M285" s="174"/>
      <c r="N285" s="174"/>
      <c r="O285" s="101" t="s">
        <v>976</v>
      </c>
      <c r="P285" s="174"/>
      <c r="Q285" s="174"/>
      <c r="R285" s="174"/>
      <c r="S285" s="174"/>
      <c r="T285" s="174"/>
      <c r="U285" s="98">
        <v>0.89400000000000002</v>
      </c>
      <c r="V285" s="174"/>
      <c r="W285" s="174"/>
      <c r="X285" s="101">
        <f t="shared" si="16"/>
        <v>0.89400000000000002</v>
      </c>
      <c r="Y285" s="111">
        <v>1621</v>
      </c>
      <c r="Z285" s="106" t="str">
        <f t="shared" si="17"/>
        <v>S</v>
      </c>
      <c r="AA285" s="174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174"/>
      <c r="AL285" s="174"/>
    </row>
    <row r="286" spans="1:38" s="107" customFormat="1">
      <c r="A286" s="97"/>
      <c r="B286" s="258" t="s">
        <v>1276</v>
      </c>
      <c r="C286" s="259">
        <v>1989</v>
      </c>
      <c r="D286" s="101"/>
      <c r="E286" s="103" t="s">
        <v>49</v>
      </c>
      <c r="F286" s="98"/>
      <c r="G286" s="98"/>
      <c r="H286" s="98"/>
      <c r="I286" s="98"/>
      <c r="J286" s="292" t="s">
        <v>1013</v>
      </c>
      <c r="K286" s="292" t="s">
        <v>1257</v>
      </c>
      <c r="L286" s="98"/>
      <c r="M286" s="98"/>
      <c r="N286" s="98"/>
      <c r="O286" s="107" t="s">
        <v>1265</v>
      </c>
      <c r="P286" s="98"/>
      <c r="Q286" s="98"/>
      <c r="R286" s="107">
        <v>0.89300000000000002</v>
      </c>
      <c r="S286" s="98"/>
      <c r="T286" s="98"/>
      <c r="U286" s="98"/>
      <c r="V286" s="98"/>
      <c r="W286" s="98"/>
      <c r="X286" s="101">
        <f t="shared" si="16"/>
        <v>0.89300000000000002</v>
      </c>
      <c r="Y286" s="107">
        <v>1640</v>
      </c>
      <c r="Z286" s="106" t="str">
        <f t="shared" si="17"/>
        <v>S</v>
      </c>
      <c r="AA286" s="174"/>
      <c r="AB286" s="174"/>
      <c r="AC286" s="174"/>
      <c r="AD286" s="174"/>
      <c r="AE286" s="174"/>
      <c r="AF286" s="174"/>
      <c r="AG286" s="174"/>
      <c r="AH286" s="174"/>
      <c r="AI286" s="174"/>
      <c r="AJ286" s="174"/>
      <c r="AK286" s="174"/>
      <c r="AL286" s="174"/>
    </row>
    <row r="287" spans="1:38" s="107" customFormat="1">
      <c r="A287" s="174"/>
      <c r="B287" s="123" t="s">
        <v>766</v>
      </c>
      <c r="C287" s="98">
        <v>2013</v>
      </c>
      <c r="D287" s="101"/>
      <c r="E287" s="99" t="s">
        <v>172</v>
      </c>
      <c r="F287" s="98">
        <v>2011</v>
      </c>
      <c r="G287" s="98" t="s">
        <v>631</v>
      </c>
      <c r="H287" s="101" t="s">
        <v>159</v>
      </c>
      <c r="I287" s="101" t="s">
        <v>1014</v>
      </c>
      <c r="J287" s="115" t="s">
        <v>1013</v>
      </c>
      <c r="K287" s="98" t="s">
        <v>1091</v>
      </c>
      <c r="L287" s="98" t="s">
        <v>974</v>
      </c>
      <c r="M287" s="174"/>
      <c r="N287" s="174"/>
      <c r="O287" s="101" t="s">
        <v>972</v>
      </c>
      <c r="P287" s="174"/>
      <c r="Q287" s="174"/>
      <c r="R287" s="174"/>
      <c r="S287" s="174"/>
      <c r="T287" s="174"/>
      <c r="U287" s="98">
        <v>0.89200000000000002</v>
      </c>
      <c r="V287" s="174"/>
      <c r="W287" s="174"/>
      <c r="X287" s="101">
        <f t="shared" si="16"/>
        <v>0.89200000000000002</v>
      </c>
      <c r="Y287" s="111">
        <v>1619</v>
      </c>
      <c r="Z287" s="106" t="str">
        <f t="shared" si="17"/>
        <v>S</v>
      </c>
      <c r="AA287" s="174"/>
      <c r="AB287" s="174"/>
      <c r="AC287" s="174"/>
      <c r="AD287" s="174"/>
      <c r="AE287" s="174"/>
      <c r="AF287" s="174"/>
      <c r="AG287" s="174"/>
      <c r="AH287" s="174"/>
      <c r="AI287" s="174"/>
      <c r="AJ287" s="174"/>
      <c r="AK287" s="174"/>
      <c r="AL287" s="174"/>
    </row>
    <row r="288" spans="1:38" s="107" customFormat="1">
      <c r="A288" s="174"/>
      <c r="B288" s="123" t="s">
        <v>766</v>
      </c>
      <c r="C288" s="98">
        <v>2013</v>
      </c>
      <c r="D288" s="101"/>
      <c r="E288" s="99" t="s">
        <v>172</v>
      </c>
      <c r="F288" s="98">
        <v>2011</v>
      </c>
      <c r="G288" s="98" t="s">
        <v>631</v>
      </c>
      <c r="H288" s="101" t="s">
        <v>159</v>
      </c>
      <c r="I288" s="101" t="s">
        <v>1014</v>
      </c>
      <c r="J288" s="115" t="s">
        <v>1013</v>
      </c>
      <c r="K288" s="98" t="s">
        <v>1091</v>
      </c>
      <c r="L288" s="98" t="s">
        <v>974</v>
      </c>
      <c r="M288" s="174"/>
      <c r="N288" s="174"/>
      <c r="O288" s="101" t="s">
        <v>972</v>
      </c>
      <c r="P288" s="174"/>
      <c r="Q288" s="174"/>
      <c r="R288" s="174"/>
      <c r="S288" s="174"/>
      <c r="T288" s="174"/>
      <c r="U288" s="98">
        <v>0.89200000000000002</v>
      </c>
      <c r="V288" s="174"/>
      <c r="W288" s="174"/>
      <c r="X288" s="101">
        <f t="shared" si="16"/>
        <v>0.89200000000000002</v>
      </c>
      <c r="Y288" s="111">
        <v>1620</v>
      </c>
      <c r="Z288" s="106" t="str">
        <f t="shared" si="17"/>
        <v>S</v>
      </c>
      <c r="AA288" s="174"/>
      <c r="AB288" s="174"/>
      <c r="AC288" s="174"/>
      <c r="AD288" s="174"/>
      <c r="AE288" s="174"/>
      <c r="AF288" s="174"/>
      <c r="AG288" s="174"/>
      <c r="AH288" s="174"/>
      <c r="AI288" s="174"/>
      <c r="AJ288" s="174"/>
      <c r="AK288" s="174"/>
      <c r="AL288" s="174"/>
    </row>
    <row r="289" spans="1:38" s="107" customFormat="1">
      <c r="A289" s="97"/>
      <c r="B289" s="258" t="s">
        <v>1276</v>
      </c>
      <c r="C289" s="259">
        <v>1989</v>
      </c>
      <c r="D289" s="101"/>
      <c r="E289" s="103" t="s">
        <v>49</v>
      </c>
      <c r="F289" s="98"/>
      <c r="G289" s="98"/>
      <c r="H289" s="98"/>
      <c r="I289" s="98"/>
      <c r="J289" s="292" t="s">
        <v>1013</v>
      </c>
      <c r="K289" s="292" t="s">
        <v>1002</v>
      </c>
      <c r="L289" s="98"/>
      <c r="M289" s="98"/>
      <c r="N289" s="98"/>
      <c r="O289" s="107" t="s">
        <v>1226</v>
      </c>
      <c r="P289" s="98"/>
      <c r="Q289" s="98"/>
      <c r="R289" s="107">
        <v>0.89</v>
      </c>
      <c r="S289" s="98"/>
      <c r="T289" s="98"/>
      <c r="U289" s="98"/>
      <c r="V289" s="98"/>
      <c r="W289" s="98"/>
      <c r="X289" s="101">
        <f t="shared" si="16"/>
        <v>0.89</v>
      </c>
      <c r="Y289" s="107">
        <v>1625</v>
      </c>
      <c r="Z289" s="106" t="str">
        <f t="shared" si="17"/>
        <v>S</v>
      </c>
      <c r="AA289" s="174"/>
      <c r="AB289" s="174"/>
      <c r="AC289" s="174"/>
      <c r="AD289" s="174"/>
      <c r="AE289" s="174"/>
      <c r="AF289" s="174"/>
      <c r="AG289" s="174"/>
      <c r="AH289" s="174"/>
      <c r="AI289" s="174"/>
      <c r="AJ289" s="174"/>
      <c r="AK289" s="174"/>
      <c r="AL289" s="174"/>
    </row>
    <row r="290" spans="1:38" s="107" customFormat="1">
      <c r="A290" s="97"/>
      <c r="B290" s="258" t="s">
        <v>1276</v>
      </c>
      <c r="C290" s="259">
        <v>1989</v>
      </c>
      <c r="D290" s="101"/>
      <c r="E290" s="103" t="s">
        <v>49</v>
      </c>
      <c r="F290" s="98"/>
      <c r="G290" s="98"/>
      <c r="H290" s="98"/>
      <c r="I290" s="98"/>
      <c r="J290" s="292" t="s">
        <v>1013</v>
      </c>
      <c r="K290" s="292" t="s">
        <v>1002</v>
      </c>
      <c r="L290" s="98"/>
      <c r="M290" s="98"/>
      <c r="N290" s="98"/>
      <c r="O290" s="107" t="s">
        <v>1228</v>
      </c>
      <c r="P290" s="98"/>
      <c r="Q290" s="98"/>
      <c r="R290" s="107">
        <v>0.89</v>
      </c>
      <c r="S290" s="98"/>
      <c r="T290" s="98"/>
      <c r="U290" s="98"/>
      <c r="V290" s="98"/>
      <c r="W290" s="98"/>
      <c r="X290" s="101">
        <f t="shared" si="16"/>
        <v>0.89</v>
      </c>
      <c r="Y290" s="107">
        <v>1635</v>
      </c>
      <c r="Z290" s="106" t="str">
        <f t="shared" si="17"/>
        <v>S</v>
      </c>
      <c r="AA290" s="174"/>
      <c r="AB290" s="174"/>
      <c r="AC290" s="174"/>
      <c r="AD290" s="174"/>
      <c r="AE290" s="174"/>
      <c r="AF290" s="174"/>
      <c r="AG290" s="174"/>
      <c r="AH290" s="174"/>
      <c r="AI290" s="174"/>
      <c r="AJ290" s="174"/>
      <c r="AK290" s="174"/>
      <c r="AL290" s="174"/>
    </row>
    <row r="291" spans="1:38" s="107" customFormat="1">
      <c r="A291" s="97">
        <v>203</v>
      </c>
      <c r="B291" s="123" t="s">
        <v>940</v>
      </c>
      <c r="C291" s="98">
        <v>2011</v>
      </c>
      <c r="D291" s="123" t="s">
        <v>941</v>
      </c>
      <c r="E291" s="99" t="s">
        <v>20</v>
      </c>
      <c r="F291" s="98">
        <v>2009</v>
      </c>
      <c r="G291" s="98" t="s">
        <v>326</v>
      </c>
      <c r="H291" s="98"/>
      <c r="I291" s="98"/>
      <c r="J291" s="174" t="s">
        <v>1013</v>
      </c>
      <c r="K291" s="98" t="s">
        <v>1091</v>
      </c>
      <c r="L291" s="98" t="s">
        <v>725</v>
      </c>
      <c r="M291" s="98"/>
      <c r="N291" s="98"/>
      <c r="O291" s="98">
        <v>61</v>
      </c>
      <c r="P291" s="98"/>
      <c r="Q291" s="98"/>
      <c r="R291" s="98"/>
      <c r="S291" s="98"/>
      <c r="T291" s="98"/>
      <c r="U291" s="98">
        <v>0.89</v>
      </c>
      <c r="V291" s="98"/>
      <c r="W291" s="98"/>
      <c r="X291" s="101">
        <f t="shared" si="16"/>
        <v>0.89</v>
      </c>
      <c r="Y291" s="111">
        <v>1656</v>
      </c>
      <c r="Z291" s="106" t="str">
        <f t="shared" si="17"/>
        <v>S</v>
      </c>
      <c r="AA291" s="174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  <c r="AL291" s="174"/>
    </row>
    <row r="292" spans="1:38" s="107" customFormat="1">
      <c r="A292" s="174"/>
      <c r="B292" s="123" t="s">
        <v>766</v>
      </c>
      <c r="C292" s="98">
        <v>2013</v>
      </c>
      <c r="D292" s="101"/>
      <c r="E292" s="99" t="s">
        <v>172</v>
      </c>
      <c r="F292" s="98">
        <v>2011</v>
      </c>
      <c r="G292" s="98" t="s">
        <v>631</v>
      </c>
      <c r="H292" s="101" t="s">
        <v>159</v>
      </c>
      <c r="I292" s="101" t="s">
        <v>1014</v>
      </c>
      <c r="J292" s="115" t="s">
        <v>1013</v>
      </c>
      <c r="K292" s="98" t="s">
        <v>1091</v>
      </c>
      <c r="L292" s="98" t="s">
        <v>975</v>
      </c>
      <c r="M292" s="174"/>
      <c r="N292" s="174"/>
      <c r="O292" s="101" t="s">
        <v>976</v>
      </c>
      <c r="P292" s="174"/>
      <c r="Q292" s="174"/>
      <c r="R292" s="174"/>
      <c r="S292" s="174"/>
      <c r="T292" s="174"/>
      <c r="U292" s="98">
        <v>0.89</v>
      </c>
      <c r="V292" s="174"/>
      <c r="W292" s="174"/>
      <c r="X292" s="101">
        <f t="shared" si="16"/>
        <v>0.89</v>
      </c>
      <c r="Y292" s="111">
        <v>1612</v>
      </c>
      <c r="Z292" s="106" t="str">
        <f t="shared" si="17"/>
        <v>S</v>
      </c>
      <c r="AA292" s="174"/>
      <c r="AB292" s="174"/>
      <c r="AC292" s="174"/>
      <c r="AD292" s="174"/>
      <c r="AE292" s="174"/>
      <c r="AF292" s="174"/>
      <c r="AG292" s="174"/>
      <c r="AH292" s="174"/>
      <c r="AI292" s="174"/>
      <c r="AJ292" s="174"/>
      <c r="AK292" s="174"/>
      <c r="AL292" s="174"/>
    </row>
    <row r="293" spans="1:38" s="107" customFormat="1">
      <c r="A293" s="174"/>
      <c r="B293" s="123" t="s">
        <v>766</v>
      </c>
      <c r="C293" s="98">
        <v>2013</v>
      </c>
      <c r="D293" s="101"/>
      <c r="E293" s="99" t="s">
        <v>172</v>
      </c>
      <c r="F293" s="98">
        <v>2011</v>
      </c>
      <c r="G293" s="98" t="s">
        <v>631</v>
      </c>
      <c r="H293" s="101" t="s">
        <v>159</v>
      </c>
      <c r="I293" s="101" t="s">
        <v>1014</v>
      </c>
      <c r="J293" s="241" t="s">
        <v>1013</v>
      </c>
      <c r="K293" s="98" t="s">
        <v>1091</v>
      </c>
      <c r="L293" s="98" t="s">
        <v>974</v>
      </c>
      <c r="M293" s="174"/>
      <c r="N293" s="174"/>
      <c r="O293" s="101" t="s">
        <v>972</v>
      </c>
      <c r="P293" s="174"/>
      <c r="Q293" s="174"/>
      <c r="R293" s="174"/>
      <c r="S293" s="174"/>
      <c r="T293" s="174"/>
      <c r="U293" s="98">
        <v>0.89</v>
      </c>
      <c r="V293" s="174"/>
      <c r="W293" s="174"/>
      <c r="X293" s="101">
        <f t="shared" si="16"/>
        <v>0.89</v>
      </c>
      <c r="Y293" s="111">
        <v>1615</v>
      </c>
      <c r="Z293" s="106" t="str">
        <f t="shared" si="17"/>
        <v>S</v>
      </c>
      <c r="AA293" s="174"/>
      <c r="AB293" s="174"/>
      <c r="AC293" s="174"/>
      <c r="AD293" s="174"/>
      <c r="AE293" s="174"/>
      <c r="AF293" s="174"/>
      <c r="AG293" s="174"/>
      <c r="AH293" s="174"/>
      <c r="AI293" s="174"/>
      <c r="AJ293" s="174"/>
      <c r="AK293" s="174"/>
      <c r="AL293" s="174"/>
    </row>
    <row r="294" spans="1:38" s="107" customFormat="1">
      <c r="A294" s="174"/>
      <c r="B294" s="123" t="s">
        <v>766</v>
      </c>
      <c r="C294" s="98">
        <v>2013</v>
      </c>
      <c r="D294" s="101"/>
      <c r="E294" s="99" t="s">
        <v>172</v>
      </c>
      <c r="F294" s="98">
        <v>2011</v>
      </c>
      <c r="G294" s="98" t="s">
        <v>631</v>
      </c>
      <c r="H294" s="101" t="s">
        <v>159</v>
      </c>
      <c r="I294" s="101" t="s">
        <v>1014</v>
      </c>
      <c r="J294" s="115" t="s">
        <v>1013</v>
      </c>
      <c r="K294" s="98" t="s">
        <v>1091</v>
      </c>
      <c r="L294" s="98" t="s">
        <v>974</v>
      </c>
      <c r="M294" s="174"/>
      <c r="N294" s="174"/>
      <c r="O294" s="101" t="s">
        <v>972</v>
      </c>
      <c r="P294" s="174"/>
      <c r="Q294" s="174"/>
      <c r="R294" s="174"/>
      <c r="S294" s="174"/>
      <c r="T294" s="174"/>
      <c r="U294" s="98">
        <v>0.89</v>
      </c>
      <c r="V294" s="174"/>
      <c r="W294" s="174"/>
      <c r="X294" s="101">
        <f t="shared" si="16"/>
        <v>0.89</v>
      </c>
      <c r="Y294" s="111">
        <v>1615</v>
      </c>
      <c r="Z294" s="106" t="str">
        <f t="shared" si="17"/>
        <v>S</v>
      </c>
      <c r="AA294" s="174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174"/>
      <c r="AL294" s="174"/>
    </row>
    <row r="295" spans="1:38" s="107" customFormat="1">
      <c r="A295" s="97">
        <v>46</v>
      </c>
      <c r="B295" s="103" t="s">
        <v>45</v>
      </c>
      <c r="C295" s="103">
        <v>1984</v>
      </c>
      <c r="D295" s="103" t="s">
        <v>113</v>
      </c>
      <c r="E295" s="99" t="s">
        <v>49</v>
      </c>
      <c r="F295" s="98">
        <v>1983</v>
      </c>
      <c r="G295" s="98" t="s">
        <v>116</v>
      </c>
      <c r="H295" s="98" t="s">
        <v>95</v>
      </c>
      <c r="I295" s="98"/>
      <c r="J295" s="98" t="s">
        <v>1013</v>
      </c>
      <c r="K295" s="98" t="s">
        <v>1134</v>
      </c>
      <c r="L295" s="98" t="s">
        <v>117</v>
      </c>
      <c r="M295" s="98"/>
      <c r="N295" s="98"/>
      <c r="O295" s="98" t="s">
        <v>123</v>
      </c>
      <c r="P295" s="98"/>
      <c r="Q295" s="98"/>
      <c r="R295" s="98">
        <v>0.89</v>
      </c>
      <c r="S295" s="98"/>
      <c r="T295" s="98"/>
      <c r="U295" s="98"/>
      <c r="V295" s="98"/>
      <c r="W295" s="98"/>
      <c r="X295" s="101">
        <f t="shared" si="16"/>
        <v>0.89</v>
      </c>
      <c r="Y295" s="111">
        <v>1625</v>
      </c>
      <c r="Z295" s="106" t="str">
        <f t="shared" si="17"/>
        <v>S</v>
      </c>
      <c r="AA295" s="174"/>
      <c r="AB295" s="174"/>
      <c r="AC295" s="174"/>
      <c r="AD295" s="174"/>
      <c r="AE295" s="174"/>
      <c r="AF295" s="174"/>
      <c r="AG295" s="174"/>
      <c r="AH295" s="174"/>
      <c r="AI295" s="174"/>
      <c r="AJ295" s="174"/>
      <c r="AK295" s="174"/>
      <c r="AL295" s="174"/>
    </row>
    <row r="296" spans="1:38" s="107" customFormat="1">
      <c r="A296" s="97">
        <v>46</v>
      </c>
      <c r="B296" s="103" t="s">
        <v>45</v>
      </c>
      <c r="C296" s="103">
        <v>1984</v>
      </c>
      <c r="D296" s="103" t="s">
        <v>113</v>
      </c>
      <c r="E296" s="99" t="s">
        <v>49</v>
      </c>
      <c r="F296" s="98">
        <v>1983</v>
      </c>
      <c r="G296" s="98" t="s">
        <v>116</v>
      </c>
      <c r="H296" s="98" t="s">
        <v>95</v>
      </c>
      <c r="I296" s="98"/>
      <c r="J296" s="98" t="s">
        <v>1013</v>
      </c>
      <c r="K296" s="98" t="s">
        <v>1134</v>
      </c>
      <c r="L296" s="98" t="s">
        <v>117</v>
      </c>
      <c r="M296" s="98"/>
      <c r="N296" s="98"/>
      <c r="O296" s="98" t="s">
        <v>126</v>
      </c>
      <c r="P296" s="98"/>
      <c r="Q296" s="98"/>
      <c r="R296" s="98">
        <v>0.89</v>
      </c>
      <c r="S296" s="98"/>
      <c r="T296" s="98"/>
      <c r="U296" s="98"/>
      <c r="V296" s="98"/>
      <c r="W296" s="98"/>
      <c r="X296" s="101">
        <f t="shared" si="16"/>
        <v>0.89</v>
      </c>
      <c r="Y296" s="111">
        <v>1635</v>
      </c>
      <c r="Z296" s="106" t="str">
        <f t="shared" si="17"/>
        <v>S</v>
      </c>
      <c r="AA296" s="174"/>
      <c r="AB296" s="174"/>
      <c r="AC296" s="174"/>
      <c r="AD296" s="174"/>
      <c r="AE296" s="174"/>
      <c r="AF296" s="174"/>
      <c r="AG296" s="174"/>
      <c r="AH296" s="174"/>
      <c r="AI296" s="174"/>
      <c r="AJ296" s="174"/>
      <c r="AK296" s="174"/>
      <c r="AL296" s="174"/>
    </row>
    <row r="297" spans="1:38" s="107" customFormat="1">
      <c r="A297" s="97">
        <v>181</v>
      </c>
      <c r="B297" s="98" t="s">
        <v>766</v>
      </c>
      <c r="C297" s="98">
        <v>2009</v>
      </c>
      <c r="D297" s="112" t="s">
        <v>767</v>
      </c>
      <c r="E297" s="113" t="s">
        <v>49</v>
      </c>
      <c r="F297" s="114" t="s">
        <v>773</v>
      </c>
      <c r="G297" s="98" t="s">
        <v>774</v>
      </c>
      <c r="H297" s="115" t="s">
        <v>581</v>
      </c>
      <c r="I297" s="115"/>
      <c r="J297" s="115" t="s">
        <v>1013</v>
      </c>
      <c r="K297" s="115" t="s">
        <v>1096</v>
      </c>
      <c r="L297" s="114" t="s">
        <v>775</v>
      </c>
      <c r="M297" s="114" t="s">
        <v>164</v>
      </c>
      <c r="N297" s="114"/>
      <c r="O297" s="114" t="s">
        <v>776</v>
      </c>
      <c r="P297" s="114"/>
      <c r="Q297" s="114"/>
      <c r="R297" s="98"/>
      <c r="S297" s="98"/>
      <c r="T297" s="98"/>
      <c r="U297" s="129">
        <v>0.88962645699999998</v>
      </c>
      <c r="V297" s="129"/>
      <c r="W297" s="129"/>
      <c r="X297" s="101">
        <f t="shared" si="16"/>
        <v>0.88962645699999998</v>
      </c>
      <c r="Y297" s="222">
        <v>1605.3097809999999</v>
      </c>
      <c r="Z297" s="106" t="str">
        <f t="shared" si="17"/>
        <v>S</v>
      </c>
      <c r="AA297" s="174"/>
      <c r="AB297" s="174"/>
      <c r="AC297" s="174"/>
      <c r="AD297" s="174"/>
      <c r="AE297" s="174"/>
      <c r="AF297" s="174"/>
      <c r="AG297" s="174"/>
      <c r="AH297" s="174"/>
      <c r="AI297" s="174"/>
      <c r="AJ297" s="174"/>
      <c r="AK297" s="174"/>
      <c r="AL297" s="174"/>
    </row>
    <row r="298" spans="1:38" s="107" customFormat="1">
      <c r="A298" s="174"/>
      <c r="B298" s="123" t="s">
        <v>766</v>
      </c>
      <c r="C298" s="98">
        <v>2013</v>
      </c>
      <c r="D298" s="101"/>
      <c r="E298" s="99" t="s">
        <v>172</v>
      </c>
      <c r="F298" s="98">
        <v>2011</v>
      </c>
      <c r="G298" s="98" t="s">
        <v>631</v>
      </c>
      <c r="H298" s="101" t="s">
        <v>159</v>
      </c>
      <c r="I298" s="101" t="s">
        <v>1014</v>
      </c>
      <c r="J298" s="115" t="s">
        <v>1013</v>
      </c>
      <c r="K298" s="98" t="s">
        <v>1091</v>
      </c>
      <c r="L298" s="98" t="s">
        <v>978</v>
      </c>
      <c r="M298" s="174"/>
      <c r="N298" s="174"/>
      <c r="O298" s="101" t="s">
        <v>977</v>
      </c>
      <c r="P298" s="174"/>
      <c r="Q298" s="174"/>
      <c r="R298" s="174"/>
      <c r="S298" s="174"/>
      <c r="T298" s="174"/>
      <c r="U298" s="98">
        <v>0.88900000000000001</v>
      </c>
      <c r="V298" s="174"/>
      <c r="W298" s="174"/>
      <c r="X298" s="101">
        <f t="shared" si="16"/>
        <v>0.88900000000000001</v>
      </c>
      <c r="Y298" s="111">
        <v>1612</v>
      </c>
      <c r="Z298" s="106" t="str">
        <f t="shared" si="17"/>
        <v>S</v>
      </c>
      <c r="AA298" s="174"/>
      <c r="AB298" s="174"/>
      <c r="AC298" s="174"/>
      <c r="AD298" s="174"/>
      <c r="AE298" s="174"/>
      <c r="AF298" s="174"/>
      <c r="AG298" s="174"/>
      <c r="AH298" s="174"/>
      <c r="AI298" s="174"/>
      <c r="AJ298" s="174"/>
      <c r="AK298" s="174"/>
      <c r="AL298" s="174"/>
    </row>
    <row r="299" spans="1:38" s="107" customFormat="1">
      <c r="A299" s="174"/>
      <c r="B299" s="123" t="s">
        <v>766</v>
      </c>
      <c r="C299" s="98">
        <v>2013</v>
      </c>
      <c r="D299" s="101"/>
      <c r="E299" s="99" t="s">
        <v>172</v>
      </c>
      <c r="F299" s="98">
        <v>2011</v>
      </c>
      <c r="G299" s="98" t="s">
        <v>631</v>
      </c>
      <c r="H299" s="101" t="s">
        <v>159</v>
      </c>
      <c r="I299" s="101" t="s">
        <v>1014</v>
      </c>
      <c r="J299" s="115" t="s">
        <v>1013</v>
      </c>
      <c r="K299" s="98" t="s">
        <v>1091</v>
      </c>
      <c r="L299" s="98" t="s">
        <v>974</v>
      </c>
      <c r="M299" s="174"/>
      <c r="N299" s="174"/>
      <c r="O299" s="101" t="s">
        <v>972</v>
      </c>
      <c r="P299" s="174"/>
      <c r="Q299" s="174"/>
      <c r="R299" s="174"/>
      <c r="S299" s="174"/>
      <c r="T299" s="174"/>
      <c r="U299" s="98">
        <v>0.88900000000000001</v>
      </c>
      <c r="V299" s="174"/>
      <c r="W299" s="174"/>
      <c r="X299" s="101">
        <f t="shared" si="16"/>
        <v>0.88900000000000001</v>
      </c>
      <c r="Y299" s="111">
        <v>1613</v>
      </c>
      <c r="Z299" s="106" t="str">
        <f t="shared" si="17"/>
        <v>S</v>
      </c>
      <c r="AA299" s="174"/>
      <c r="AB299" s="174"/>
      <c r="AC299" s="174"/>
      <c r="AD299" s="174"/>
      <c r="AE299" s="174"/>
      <c r="AF299" s="174"/>
      <c r="AG299" s="174"/>
      <c r="AH299" s="174"/>
      <c r="AI299" s="174"/>
      <c r="AJ299" s="174"/>
      <c r="AK299" s="174"/>
      <c r="AL299" s="174"/>
    </row>
    <row r="300" spans="1:38" s="107" customFormat="1">
      <c r="A300" s="174"/>
      <c r="B300" s="123" t="s">
        <v>766</v>
      </c>
      <c r="C300" s="98">
        <v>2013</v>
      </c>
      <c r="D300" s="101"/>
      <c r="E300" s="99" t="s">
        <v>172</v>
      </c>
      <c r="F300" s="98">
        <v>2011</v>
      </c>
      <c r="G300" s="98" t="s">
        <v>631</v>
      </c>
      <c r="H300" s="101" t="s">
        <v>159</v>
      </c>
      <c r="I300" s="101" t="s">
        <v>1014</v>
      </c>
      <c r="J300" s="241" t="s">
        <v>1013</v>
      </c>
      <c r="K300" s="98" t="s">
        <v>1091</v>
      </c>
      <c r="L300" s="98" t="s">
        <v>978</v>
      </c>
      <c r="M300" s="174"/>
      <c r="N300" s="174"/>
      <c r="O300" s="101" t="s">
        <v>977</v>
      </c>
      <c r="P300" s="174"/>
      <c r="Q300" s="174"/>
      <c r="R300" s="174"/>
      <c r="S300" s="174"/>
      <c r="T300" s="174"/>
      <c r="U300" s="98">
        <v>0.88600000000000001</v>
      </c>
      <c r="V300" s="174"/>
      <c r="W300" s="174"/>
      <c r="X300" s="101">
        <f t="shared" si="16"/>
        <v>0.88600000000000001</v>
      </c>
      <c r="Y300" s="111">
        <v>1607</v>
      </c>
      <c r="Z300" s="106" t="str">
        <f t="shared" si="17"/>
        <v>S</v>
      </c>
      <c r="AA300" s="174"/>
      <c r="AB300" s="174"/>
      <c r="AC300" s="174"/>
      <c r="AD300" s="174"/>
      <c r="AE300" s="174"/>
      <c r="AF300" s="174"/>
      <c r="AG300" s="174"/>
      <c r="AH300" s="174"/>
      <c r="AI300" s="174"/>
      <c r="AJ300" s="174"/>
      <c r="AK300" s="174"/>
      <c r="AL300" s="174"/>
    </row>
    <row r="301" spans="1:38" s="107" customFormat="1">
      <c r="A301" s="174"/>
      <c r="B301" s="123" t="s">
        <v>766</v>
      </c>
      <c r="C301" s="98">
        <v>2013</v>
      </c>
      <c r="D301" s="101"/>
      <c r="E301" s="99" t="s">
        <v>172</v>
      </c>
      <c r="F301" s="98">
        <v>2011</v>
      </c>
      <c r="G301" s="98" t="s">
        <v>631</v>
      </c>
      <c r="H301" s="101" t="s">
        <v>159</v>
      </c>
      <c r="I301" s="101" t="s">
        <v>1014</v>
      </c>
      <c r="J301" s="115" t="s">
        <v>1013</v>
      </c>
      <c r="K301" s="98" t="s">
        <v>1091</v>
      </c>
      <c r="L301" s="98" t="s">
        <v>974</v>
      </c>
      <c r="M301" s="174"/>
      <c r="N301" s="174"/>
      <c r="O301" s="101" t="s">
        <v>972</v>
      </c>
      <c r="P301" s="174"/>
      <c r="Q301" s="174"/>
      <c r="R301" s="174"/>
      <c r="S301" s="174"/>
      <c r="T301" s="174"/>
      <c r="U301" s="98">
        <v>0.88600000000000001</v>
      </c>
      <c r="V301" s="174"/>
      <c r="W301" s="174"/>
      <c r="X301" s="101">
        <f t="shared" si="16"/>
        <v>0.88600000000000001</v>
      </c>
      <c r="Y301" s="111">
        <v>1608</v>
      </c>
      <c r="Z301" s="106" t="str">
        <f t="shared" si="17"/>
        <v>S</v>
      </c>
      <c r="AA301" s="174"/>
      <c r="AB301" s="174"/>
      <c r="AC301" s="174"/>
      <c r="AD301" s="174"/>
      <c r="AE301" s="174"/>
      <c r="AF301" s="174"/>
      <c r="AG301" s="174"/>
      <c r="AH301" s="174"/>
      <c r="AI301" s="174"/>
      <c r="AJ301" s="174"/>
      <c r="AK301" s="174"/>
      <c r="AL301" s="174"/>
    </row>
    <row r="302" spans="1:38" s="107" customFormat="1">
      <c r="A302" s="174"/>
      <c r="B302" s="123" t="s">
        <v>766</v>
      </c>
      <c r="C302" s="98">
        <v>2013</v>
      </c>
      <c r="D302" s="101"/>
      <c r="E302" s="99" t="s">
        <v>172</v>
      </c>
      <c r="F302" s="98">
        <v>2011</v>
      </c>
      <c r="G302" s="98" t="s">
        <v>631</v>
      </c>
      <c r="H302" s="101" t="s">
        <v>159</v>
      </c>
      <c r="I302" s="101" t="s">
        <v>1014</v>
      </c>
      <c r="J302" s="115" t="s">
        <v>1013</v>
      </c>
      <c r="K302" s="98" t="s">
        <v>1091</v>
      </c>
      <c r="L302" s="98" t="s">
        <v>978</v>
      </c>
      <c r="M302" s="174"/>
      <c r="N302" s="174"/>
      <c r="O302" s="101" t="s">
        <v>977</v>
      </c>
      <c r="P302" s="174"/>
      <c r="Q302" s="174"/>
      <c r="R302" s="174"/>
      <c r="S302" s="174"/>
      <c r="T302" s="174"/>
      <c r="U302" s="98">
        <v>0.88500000000000001</v>
      </c>
      <c r="V302" s="174"/>
      <c r="W302" s="174"/>
      <c r="X302" s="101">
        <f t="shared" si="16"/>
        <v>0.88500000000000001</v>
      </c>
      <c r="Y302" s="111">
        <v>1603</v>
      </c>
      <c r="Z302" s="106" t="str">
        <f t="shared" si="17"/>
        <v>S</v>
      </c>
      <c r="AA302" s="174"/>
      <c r="AB302" s="174"/>
      <c r="AC302" s="174"/>
      <c r="AD302" s="174"/>
      <c r="AE302" s="174"/>
      <c r="AF302" s="174"/>
      <c r="AG302" s="174"/>
      <c r="AH302" s="174"/>
      <c r="AI302" s="174"/>
      <c r="AJ302" s="174"/>
      <c r="AK302" s="174"/>
      <c r="AL302" s="174"/>
    </row>
    <row r="303" spans="1:38" s="107" customFormat="1">
      <c r="A303" s="174"/>
      <c r="B303" s="123" t="s">
        <v>766</v>
      </c>
      <c r="C303" s="98">
        <v>2013</v>
      </c>
      <c r="D303" s="101"/>
      <c r="E303" s="99" t="s">
        <v>172</v>
      </c>
      <c r="F303" s="98">
        <v>2011</v>
      </c>
      <c r="G303" s="98" t="s">
        <v>631</v>
      </c>
      <c r="H303" s="101" t="s">
        <v>159</v>
      </c>
      <c r="I303" s="101" t="s">
        <v>1014</v>
      </c>
      <c r="J303" s="115" t="s">
        <v>1013</v>
      </c>
      <c r="K303" s="98" t="s">
        <v>1091</v>
      </c>
      <c r="L303" s="98" t="s">
        <v>974</v>
      </c>
      <c r="M303" s="174"/>
      <c r="N303" s="174"/>
      <c r="O303" s="101" t="s">
        <v>972</v>
      </c>
      <c r="P303" s="174"/>
      <c r="Q303" s="174"/>
      <c r="R303" s="174"/>
      <c r="S303" s="174"/>
      <c r="T303" s="174"/>
      <c r="U303" s="98">
        <v>0.88500000000000001</v>
      </c>
      <c r="V303" s="174"/>
      <c r="W303" s="174"/>
      <c r="X303" s="101">
        <f t="shared" si="16"/>
        <v>0.88500000000000001</v>
      </c>
      <c r="Y303" s="111">
        <v>1605</v>
      </c>
      <c r="Z303" s="106" t="str">
        <f t="shared" ref="Z303:Z334" si="18">IF(X303&lt;&gt;"",IF(X303&lt;0.9,"S","F"),"")</f>
        <v>S</v>
      </c>
      <c r="AA303" s="174"/>
      <c r="AB303" s="174"/>
      <c r="AC303" s="174"/>
      <c r="AD303" s="174"/>
      <c r="AE303" s="174"/>
      <c r="AF303" s="174"/>
      <c r="AG303" s="174"/>
      <c r="AH303" s="174"/>
      <c r="AI303" s="174"/>
      <c r="AJ303" s="174"/>
      <c r="AK303" s="174"/>
      <c r="AL303" s="174"/>
    </row>
    <row r="304" spans="1:38" s="107" customFormat="1">
      <c r="A304" s="97">
        <v>173</v>
      </c>
      <c r="B304" s="98" t="s">
        <v>585</v>
      </c>
      <c r="C304" s="98">
        <v>2011</v>
      </c>
      <c r="D304" s="108" t="s">
        <v>636</v>
      </c>
      <c r="E304" s="99" t="s">
        <v>638</v>
      </c>
      <c r="F304" s="100" t="s">
        <v>656</v>
      </c>
      <c r="G304" s="98" t="s">
        <v>657</v>
      </c>
      <c r="H304" s="98" t="s">
        <v>146</v>
      </c>
      <c r="I304" s="98"/>
      <c r="J304" s="101" t="s">
        <v>1013</v>
      </c>
      <c r="K304" s="98" t="s">
        <v>1082</v>
      </c>
      <c r="L304" s="98" t="s">
        <v>660</v>
      </c>
      <c r="M304" s="109"/>
      <c r="N304" s="109"/>
      <c r="O304" s="98" t="s">
        <v>661</v>
      </c>
      <c r="P304" s="103"/>
      <c r="Q304" s="103"/>
      <c r="R304" s="98"/>
      <c r="S304" s="98"/>
      <c r="T304" s="98"/>
      <c r="U304" s="104">
        <v>0.88500000000000001</v>
      </c>
      <c r="V304" s="175"/>
      <c r="W304" s="175"/>
      <c r="X304" s="101">
        <f t="shared" si="16"/>
        <v>0.88500000000000001</v>
      </c>
      <c r="Y304" s="221">
        <v>1523</v>
      </c>
      <c r="Z304" s="106" t="str">
        <f t="shared" si="18"/>
        <v>S</v>
      </c>
      <c r="AA304" s="174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174"/>
      <c r="AL304" s="174"/>
    </row>
    <row r="305" spans="1:38" s="107" customFormat="1">
      <c r="A305" s="174"/>
      <c r="B305" s="123" t="s">
        <v>766</v>
      </c>
      <c r="C305" s="98">
        <v>2013</v>
      </c>
      <c r="D305" s="101"/>
      <c r="E305" s="99" t="s">
        <v>172</v>
      </c>
      <c r="F305" s="98">
        <v>2011</v>
      </c>
      <c r="G305" s="98" t="s">
        <v>631</v>
      </c>
      <c r="H305" s="101" t="s">
        <v>159</v>
      </c>
      <c r="I305" s="101" t="s">
        <v>1014</v>
      </c>
      <c r="J305" s="115" t="s">
        <v>1013</v>
      </c>
      <c r="K305" s="98" t="s">
        <v>1091</v>
      </c>
      <c r="L305" s="98" t="s">
        <v>974</v>
      </c>
      <c r="M305" s="174"/>
      <c r="N305" s="174"/>
      <c r="O305" s="101" t="s">
        <v>972</v>
      </c>
      <c r="P305" s="174"/>
      <c r="Q305" s="174"/>
      <c r="R305" s="174"/>
      <c r="S305" s="174"/>
      <c r="T305" s="174"/>
      <c r="U305" s="98">
        <v>0.88400000000000001</v>
      </c>
      <c r="V305" s="174"/>
      <c r="W305" s="174"/>
      <c r="X305" s="101">
        <f t="shared" si="16"/>
        <v>0.88400000000000001</v>
      </c>
      <c r="Y305" s="111">
        <v>1601</v>
      </c>
      <c r="Z305" s="106" t="str">
        <f t="shared" si="18"/>
        <v>S</v>
      </c>
      <c r="AA305" s="174"/>
      <c r="AB305" s="174"/>
      <c r="AC305" s="174"/>
      <c r="AD305" s="174"/>
      <c r="AE305" s="174"/>
      <c r="AF305" s="174"/>
      <c r="AG305" s="174"/>
      <c r="AH305" s="174"/>
      <c r="AI305" s="174"/>
      <c r="AJ305" s="174"/>
      <c r="AK305" s="174"/>
      <c r="AL305" s="174"/>
    </row>
    <row r="306" spans="1:38" s="107" customFormat="1">
      <c r="A306" s="174"/>
      <c r="B306" s="123" t="s">
        <v>766</v>
      </c>
      <c r="C306" s="98">
        <v>2013</v>
      </c>
      <c r="D306" s="101"/>
      <c r="E306" s="99" t="s">
        <v>172</v>
      </c>
      <c r="F306" s="98">
        <v>2011</v>
      </c>
      <c r="G306" s="98" t="s">
        <v>631</v>
      </c>
      <c r="H306" s="101" t="s">
        <v>159</v>
      </c>
      <c r="I306" s="101" t="s">
        <v>1014</v>
      </c>
      <c r="J306" s="115" t="s">
        <v>1013</v>
      </c>
      <c r="K306" s="98" t="s">
        <v>1091</v>
      </c>
      <c r="L306" s="98" t="s">
        <v>974</v>
      </c>
      <c r="M306" s="174"/>
      <c r="N306" s="174"/>
      <c r="O306" s="101" t="s">
        <v>972</v>
      </c>
      <c r="P306" s="174"/>
      <c r="Q306" s="174"/>
      <c r="R306" s="174"/>
      <c r="S306" s="174"/>
      <c r="T306" s="174"/>
      <c r="U306" s="98">
        <v>0.88400000000000001</v>
      </c>
      <c r="V306" s="174"/>
      <c r="W306" s="174"/>
      <c r="X306" s="101">
        <f t="shared" si="16"/>
        <v>0.88400000000000001</v>
      </c>
      <c r="Y306" s="111">
        <v>1605</v>
      </c>
      <c r="Z306" s="106" t="str">
        <f t="shared" si="18"/>
        <v>S</v>
      </c>
      <c r="AA306" s="174"/>
      <c r="AB306" s="174"/>
      <c r="AC306" s="174"/>
      <c r="AD306" s="174"/>
      <c r="AE306" s="174"/>
      <c r="AF306" s="174"/>
      <c r="AG306" s="174"/>
      <c r="AH306" s="174"/>
      <c r="AI306" s="174"/>
      <c r="AJ306" s="174"/>
      <c r="AK306" s="174"/>
      <c r="AL306" s="174"/>
    </row>
    <row r="307" spans="1:38" s="107" customFormat="1">
      <c r="A307" s="97"/>
      <c r="B307" s="258" t="s">
        <v>1276</v>
      </c>
      <c r="C307" s="259">
        <v>1989</v>
      </c>
      <c r="D307" s="101"/>
      <c r="E307" s="103" t="s">
        <v>49</v>
      </c>
      <c r="F307" s="98"/>
      <c r="G307" s="98"/>
      <c r="H307" s="98"/>
      <c r="I307" s="98"/>
      <c r="J307" s="292" t="s">
        <v>1013</v>
      </c>
      <c r="K307" s="292" t="s">
        <v>1257</v>
      </c>
      <c r="L307" s="98"/>
      <c r="M307" s="98"/>
      <c r="N307" s="98"/>
      <c r="O307" s="107" t="s">
        <v>1266</v>
      </c>
      <c r="P307" s="98"/>
      <c r="Q307" s="98"/>
      <c r="R307" s="107">
        <v>0.88200000000000001</v>
      </c>
      <c r="S307" s="98"/>
      <c r="T307" s="98"/>
      <c r="U307" s="98"/>
      <c r="V307" s="98"/>
      <c r="W307" s="98"/>
      <c r="X307" s="101">
        <f t="shared" si="16"/>
        <v>0.88200000000000001</v>
      </c>
      <c r="Y307" s="107">
        <v>1618</v>
      </c>
      <c r="Z307" s="106" t="str">
        <f t="shared" si="18"/>
        <v>S</v>
      </c>
      <c r="AA307" s="174"/>
      <c r="AB307" s="174"/>
      <c r="AC307" s="174"/>
      <c r="AD307" s="174"/>
      <c r="AE307" s="174"/>
      <c r="AF307" s="174"/>
      <c r="AG307" s="174"/>
      <c r="AH307" s="174"/>
      <c r="AI307" s="174"/>
      <c r="AJ307" s="174"/>
      <c r="AK307" s="174"/>
      <c r="AL307" s="174"/>
    </row>
    <row r="308" spans="1:38" s="107" customFormat="1">
      <c r="A308" s="97"/>
      <c r="B308" s="258" t="s">
        <v>1276</v>
      </c>
      <c r="C308" s="259">
        <v>1989</v>
      </c>
      <c r="D308" s="101"/>
      <c r="E308" s="103" t="s">
        <v>49</v>
      </c>
      <c r="F308" s="98"/>
      <c r="G308" s="98"/>
      <c r="H308" s="98"/>
      <c r="I308" s="98"/>
      <c r="J308" s="292" t="s">
        <v>1013</v>
      </c>
      <c r="K308" s="292" t="s">
        <v>1002</v>
      </c>
      <c r="L308" s="98"/>
      <c r="M308" s="98"/>
      <c r="N308" s="98"/>
      <c r="O308" s="107" t="s">
        <v>1227</v>
      </c>
      <c r="P308" s="98"/>
      <c r="Q308" s="98"/>
      <c r="R308" s="107">
        <v>0.88</v>
      </c>
      <c r="S308" s="98"/>
      <c r="T308" s="98"/>
      <c r="U308" s="98"/>
      <c r="V308" s="98"/>
      <c r="W308" s="98"/>
      <c r="X308" s="101">
        <f t="shared" si="16"/>
        <v>0.88</v>
      </c>
      <c r="Y308" s="107">
        <v>1632</v>
      </c>
      <c r="Z308" s="106" t="str">
        <f t="shared" si="18"/>
        <v>S</v>
      </c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  <c r="AL308" s="174"/>
    </row>
    <row r="309" spans="1:38" s="107" customFormat="1">
      <c r="A309" s="97">
        <v>197</v>
      </c>
      <c r="B309" s="123" t="s">
        <v>875</v>
      </c>
      <c r="C309" s="98">
        <v>2007</v>
      </c>
      <c r="D309" s="123" t="s">
        <v>928</v>
      </c>
      <c r="E309" s="99" t="s">
        <v>20</v>
      </c>
      <c r="F309" s="98">
        <v>2003</v>
      </c>
      <c r="G309" s="98" t="s">
        <v>326</v>
      </c>
      <c r="H309" s="98" t="s">
        <v>159</v>
      </c>
      <c r="I309" s="98"/>
      <c r="J309" s="174" t="s">
        <v>1013</v>
      </c>
      <c r="K309" s="98" t="s">
        <v>1111</v>
      </c>
      <c r="L309" s="98" t="s">
        <v>315</v>
      </c>
      <c r="M309" s="98"/>
      <c r="N309" s="98"/>
      <c r="O309" s="98" t="s">
        <v>930</v>
      </c>
      <c r="P309" s="98"/>
      <c r="Q309" s="98">
        <v>0.88</v>
      </c>
      <c r="R309" s="98">
        <f>+Q309</f>
        <v>0.88</v>
      </c>
      <c r="S309" s="98"/>
      <c r="T309" s="98">
        <v>0.89</v>
      </c>
      <c r="U309" s="98">
        <f>+T309</f>
        <v>0.89</v>
      </c>
      <c r="V309" s="98"/>
      <c r="W309" s="98">
        <v>1573.8</v>
      </c>
      <c r="X309" s="101">
        <f t="shared" si="16"/>
        <v>0.88</v>
      </c>
      <c r="Y309" s="111">
        <f>+W309</f>
        <v>1573.8</v>
      </c>
      <c r="Z309" s="106" t="str">
        <f t="shared" si="18"/>
        <v>S</v>
      </c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4"/>
      <c r="AK309" s="174"/>
      <c r="AL309" s="174"/>
    </row>
    <row r="310" spans="1:38" s="107" customFormat="1">
      <c r="A310" s="97">
        <v>46</v>
      </c>
      <c r="B310" s="103" t="s">
        <v>45</v>
      </c>
      <c r="C310" s="103">
        <v>1984</v>
      </c>
      <c r="D310" s="103" t="s">
        <v>113</v>
      </c>
      <c r="E310" s="99" t="s">
        <v>49</v>
      </c>
      <c r="F310" s="98">
        <v>1983</v>
      </c>
      <c r="G310" s="98" t="s">
        <v>116</v>
      </c>
      <c r="H310" s="98" t="s">
        <v>95</v>
      </c>
      <c r="I310" s="98"/>
      <c r="J310" s="98" t="s">
        <v>1013</v>
      </c>
      <c r="K310" s="98" t="s">
        <v>1134</v>
      </c>
      <c r="L310" s="98" t="s">
        <v>117</v>
      </c>
      <c r="M310" s="98"/>
      <c r="N310" s="98"/>
      <c r="O310" s="98" t="s">
        <v>121</v>
      </c>
      <c r="P310" s="98"/>
      <c r="Q310" s="98"/>
      <c r="R310" s="98">
        <v>0.88</v>
      </c>
      <c r="S310" s="98"/>
      <c r="T310" s="98"/>
      <c r="U310" s="98"/>
      <c r="V310" s="98"/>
      <c r="W310" s="98"/>
      <c r="X310" s="101">
        <f t="shared" si="16"/>
        <v>0.88</v>
      </c>
      <c r="Y310" s="111">
        <v>1632</v>
      </c>
      <c r="Z310" s="106" t="str">
        <f t="shared" si="18"/>
        <v>S</v>
      </c>
      <c r="AA310" s="174"/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174"/>
      <c r="AL310" s="174"/>
    </row>
    <row r="311" spans="1:38" s="107" customFormat="1">
      <c r="A311" s="174"/>
      <c r="B311" s="123" t="s">
        <v>766</v>
      </c>
      <c r="C311" s="98">
        <v>2013</v>
      </c>
      <c r="D311" s="101"/>
      <c r="E311" s="99" t="s">
        <v>172</v>
      </c>
      <c r="F311" s="98">
        <v>2011</v>
      </c>
      <c r="G311" s="98" t="s">
        <v>631</v>
      </c>
      <c r="H311" s="101" t="s">
        <v>159</v>
      </c>
      <c r="I311" s="101" t="s">
        <v>1014</v>
      </c>
      <c r="J311" s="115" t="s">
        <v>1013</v>
      </c>
      <c r="K311" s="98" t="s">
        <v>1091</v>
      </c>
      <c r="L311" s="98" t="s">
        <v>978</v>
      </c>
      <c r="M311" s="174"/>
      <c r="N311" s="174"/>
      <c r="O311" s="101" t="s">
        <v>977</v>
      </c>
      <c r="P311" s="174"/>
      <c r="Q311" s="174"/>
      <c r="R311" s="174"/>
      <c r="S311" s="174"/>
      <c r="T311" s="174"/>
      <c r="U311" s="98">
        <v>0.879</v>
      </c>
      <c r="V311" s="174"/>
      <c r="W311" s="174"/>
      <c r="X311" s="101">
        <f t="shared" si="16"/>
        <v>0.879</v>
      </c>
      <c r="Y311" s="111">
        <v>1596</v>
      </c>
      <c r="Z311" s="106" t="str">
        <f t="shared" si="18"/>
        <v>S</v>
      </c>
      <c r="AA311" s="174"/>
      <c r="AB311" s="174"/>
      <c r="AC311" s="174"/>
      <c r="AD311" s="174"/>
      <c r="AE311" s="174"/>
      <c r="AF311" s="174"/>
      <c r="AG311" s="174"/>
      <c r="AH311" s="174"/>
      <c r="AI311" s="174"/>
      <c r="AJ311" s="174"/>
      <c r="AK311" s="174"/>
      <c r="AL311" s="174"/>
    </row>
    <row r="312" spans="1:38" s="107" customFormat="1">
      <c r="A312" s="174"/>
      <c r="B312" s="123" t="s">
        <v>766</v>
      </c>
      <c r="C312" s="98">
        <v>2013</v>
      </c>
      <c r="D312" s="101"/>
      <c r="E312" s="99" t="s">
        <v>172</v>
      </c>
      <c r="F312" s="98">
        <v>2011</v>
      </c>
      <c r="G312" s="98" t="s">
        <v>631</v>
      </c>
      <c r="H312" s="101" t="s">
        <v>159</v>
      </c>
      <c r="I312" s="101" t="s">
        <v>1014</v>
      </c>
      <c r="J312" s="115" t="s">
        <v>1013</v>
      </c>
      <c r="K312" s="98" t="s">
        <v>1091</v>
      </c>
      <c r="L312" s="98" t="s">
        <v>978</v>
      </c>
      <c r="M312" s="174"/>
      <c r="N312" s="174"/>
      <c r="O312" s="101" t="s">
        <v>977</v>
      </c>
      <c r="P312" s="174"/>
      <c r="Q312" s="174"/>
      <c r="R312" s="174"/>
      <c r="S312" s="174"/>
      <c r="T312" s="174"/>
      <c r="U312" s="98">
        <v>0.878</v>
      </c>
      <c r="V312" s="174"/>
      <c r="W312" s="174"/>
      <c r="X312" s="101">
        <f t="shared" si="16"/>
        <v>0.878</v>
      </c>
      <c r="Y312" s="111">
        <v>1592</v>
      </c>
      <c r="Z312" s="106" t="str">
        <f t="shared" si="18"/>
        <v>S</v>
      </c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4"/>
      <c r="AK312" s="174"/>
      <c r="AL312" s="174"/>
    </row>
    <row r="313" spans="1:38" s="107" customFormat="1">
      <c r="A313" s="174"/>
      <c r="B313" s="123" t="s">
        <v>766</v>
      </c>
      <c r="C313" s="98">
        <v>2013</v>
      </c>
      <c r="D313" s="101"/>
      <c r="E313" s="99" t="s">
        <v>172</v>
      </c>
      <c r="F313" s="98">
        <v>2011</v>
      </c>
      <c r="G313" s="98" t="s">
        <v>631</v>
      </c>
      <c r="H313" s="101" t="s">
        <v>159</v>
      </c>
      <c r="I313" s="101" t="s">
        <v>1014</v>
      </c>
      <c r="J313" s="115" t="s">
        <v>1013</v>
      </c>
      <c r="K313" s="98" t="s">
        <v>1091</v>
      </c>
      <c r="L313" s="98" t="s">
        <v>978</v>
      </c>
      <c r="M313" s="174"/>
      <c r="N313" s="174"/>
      <c r="O313" s="101" t="s">
        <v>977</v>
      </c>
      <c r="P313" s="174"/>
      <c r="Q313" s="174"/>
      <c r="R313" s="174"/>
      <c r="S313" s="174"/>
      <c r="T313" s="174"/>
      <c r="U313" s="98">
        <v>0.876</v>
      </c>
      <c r="V313" s="174"/>
      <c r="W313" s="174"/>
      <c r="X313" s="101">
        <f t="shared" si="16"/>
        <v>0.876</v>
      </c>
      <c r="Y313" s="111">
        <v>1582</v>
      </c>
      <c r="Z313" s="106" t="str">
        <f t="shared" si="18"/>
        <v>S</v>
      </c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4"/>
      <c r="AK313" s="174"/>
      <c r="AL313" s="174"/>
    </row>
    <row r="314" spans="1:38" s="107" customFormat="1">
      <c r="A314" s="174"/>
      <c r="B314" s="123" t="s">
        <v>766</v>
      </c>
      <c r="C314" s="98">
        <v>2013</v>
      </c>
      <c r="D314" s="101"/>
      <c r="E314" s="99" t="s">
        <v>172</v>
      </c>
      <c r="F314" s="98">
        <v>2011</v>
      </c>
      <c r="G314" s="98" t="s">
        <v>631</v>
      </c>
      <c r="H314" s="101" t="s">
        <v>159</v>
      </c>
      <c r="I314" s="101" t="s">
        <v>1014</v>
      </c>
      <c r="J314" s="115" t="s">
        <v>1013</v>
      </c>
      <c r="K314" s="98" t="s">
        <v>1091</v>
      </c>
      <c r="L314" s="98" t="s">
        <v>978</v>
      </c>
      <c r="M314" s="174"/>
      <c r="N314" s="174"/>
      <c r="O314" s="101" t="s">
        <v>977</v>
      </c>
      <c r="P314" s="174"/>
      <c r="Q314" s="174"/>
      <c r="R314" s="174"/>
      <c r="S314" s="174"/>
      <c r="T314" s="174"/>
      <c r="U314" s="98">
        <v>0.876</v>
      </c>
      <c r="V314" s="174"/>
      <c r="W314" s="174"/>
      <c r="X314" s="101">
        <f t="shared" si="16"/>
        <v>0.876</v>
      </c>
      <c r="Y314" s="111">
        <v>1587</v>
      </c>
      <c r="Z314" s="106" t="str">
        <f t="shared" si="18"/>
        <v>S</v>
      </c>
      <c r="AA314" s="174"/>
      <c r="AB314" s="174"/>
      <c r="AC314" s="174"/>
      <c r="AD314" s="174"/>
      <c r="AE314" s="174"/>
      <c r="AF314" s="174"/>
      <c r="AG314" s="174"/>
      <c r="AH314" s="174"/>
      <c r="AI314" s="174"/>
      <c r="AJ314" s="174"/>
      <c r="AK314" s="174"/>
      <c r="AL314" s="174"/>
    </row>
    <row r="315" spans="1:38" s="107" customFormat="1">
      <c r="A315" s="174"/>
      <c r="B315" s="123" t="s">
        <v>766</v>
      </c>
      <c r="C315" s="98">
        <v>2013</v>
      </c>
      <c r="D315" s="101"/>
      <c r="E315" s="99" t="s">
        <v>172</v>
      </c>
      <c r="F315" s="98">
        <v>2011</v>
      </c>
      <c r="G315" s="98" t="s">
        <v>631</v>
      </c>
      <c r="H315" s="101" t="s">
        <v>159</v>
      </c>
      <c r="I315" s="101" t="s">
        <v>1014</v>
      </c>
      <c r="J315" s="115" t="s">
        <v>1013</v>
      </c>
      <c r="K315" s="98" t="s">
        <v>1091</v>
      </c>
      <c r="L315" s="98" t="s">
        <v>974</v>
      </c>
      <c r="M315" s="174"/>
      <c r="N315" s="174"/>
      <c r="O315" s="101" t="s">
        <v>972</v>
      </c>
      <c r="P315" s="174"/>
      <c r="Q315" s="174"/>
      <c r="R315" s="174"/>
      <c r="S315" s="174"/>
      <c r="T315" s="174"/>
      <c r="U315" s="98">
        <v>0.876</v>
      </c>
      <c r="V315" s="174"/>
      <c r="W315" s="174"/>
      <c r="X315" s="101">
        <f t="shared" si="16"/>
        <v>0.876</v>
      </c>
      <c r="Y315" s="111">
        <v>1588</v>
      </c>
      <c r="Z315" s="106" t="str">
        <f t="shared" si="18"/>
        <v>S</v>
      </c>
      <c r="AA315" s="174"/>
      <c r="AB315" s="174"/>
      <c r="AC315" s="174"/>
      <c r="AD315" s="174"/>
      <c r="AE315" s="174"/>
      <c r="AF315" s="174"/>
      <c r="AG315" s="174"/>
      <c r="AH315" s="174"/>
      <c r="AI315" s="174"/>
      <c r="AJ315" s="174"/>
      <c r="AK315" s="174"/>
      <c r="AL315" s="174"/>
    </row>
    <row r="316" spans="1:38" s="107" customFormat="1">
      <c r="A316" s="174"/>
      <c r="B316" s="123" t="s">
        <v>766</v>
      </c>
      <c r="C316" s="98">
        <v>2013</v>
      </c>
      <c r="D316" s="101"/>
      <c r="E316" s="99" t="s">
        <v>172</v>
      </c>
      <c r="F316" s="98">
        <v>2011</v>
      </c>
      <c r="G316" s="98" t="s">
        <v>631</v>
      </c>
      <c r="H316" s="101" t="s">
        <v>159</v>
      </c>
      <c r="I316" s="101" t="s">
        <v>1014</v>
      </c>
      <c r="J316" s="115" t="s">
        <v>1013</v>
      </c>
      <c r="K316" s="98" t="s">
        <v>1091</v>
      </c>
      <c r="L316" s="98" t="s">
        <v>978</v>
      </c>
      <c r="M316" s="174"/>
      <c r="N316" s="174"/>
      <c r="O316" s="101" t="s">
        <v>977</v>
      </c>
      <c r="P316" s="174"/>
      <c r="Q316" s="174"/>
      <c r="R316" s="174"/>
      <c r="S316" s="174"/>
      <c r="T316" s="174"/>
      <c r="U316" s="98">
        <v>0.876</v>
      </c>
      <c r="V316" s="174"/>
      <c r="W316" s="174"/>
      <c r="X316" s="101">
        <f t="shared" si="16"/>
        <v>0.876</v>
      </c>
      <c r="Y316" s="111">
        <v>1588</v>
      </c>
      <c r="Z316" s="106" t="str">
        <f t="shared" si="18"/>
        <v>S</v>
      </c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174"/>
      <c r="AL316" s="174"/>
    </row>
    <row r="317" spans="1:38" s="107" customFormat="1">
      <c r="A317" s="174"/>
      <c r="B317" s="123" t="s">
        <v>766</v>
      </c>
      <c r="C317" s="98">
        <v>2013</v>
      </c>
      <c r="D317" s="101"/>
      <c r="E317" s="99" t="s">
        <v>172</v>
      </c>
      <c r="F317" s="98">
        <v>2011</v>
      </c>
      <c r="G317" s="98" t="s">
        <v>631</v>
      </c>
      <c r="H317" s="101" t="s">
        <v>159</v>
      </c>
      <c r="I317" s="101" t="s">
        <v>1014</v>
      </c>
      <c r="J317" s="115" t="s">
        <v>1013</v>
      </c>
      <c r="K317" s="98" t="s">
        <v>1091</v>
      </c>
      <c r="L317" s="98" t="s">
        <v>978</v>
      </c>
      <c r="M317" s="174"/>
      <c r="N317" s="174"/>
      <c r="O317" s="101" t="s">
        <v>977</v>
      </c>
      <c r="P317" s="174"/>
      <c r="Q317" s="174"/>
      <c r="R317" s="174"/>
      <c r="S317" s="174"/>
      <c r="T317" s="174"/>
      <c r="U317" s="98">
        <v>0.876</v>
      </c>
      <c r="V317" s="174"/>
      <c r="W317" s="174"/>
      <c r="X317" s="101">
        <f t="shared" ref="X317:X380" si="19">IF(R317&lt;&gt;0,IF(R317&gt;1,R317/100,R317),IF(U317&lt;&gt;0,IF(U317&gt;1,U317/100,U317),""))</f>
        <v>0.876</v>
      </c>
      <c r="Y317" s="111">
        <v>1590</v>
      </c>
      <c r="Z317" s="106" t="str">
        <f t="shared" si="18"/>
        <v>S</v>
      </c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4"/>
      <c r="AL317" s="174"/>
    </row>
    <row r="318" spans="1:38" s="107" customFormat="1">
      <c r="A318" s="174"/>
      <c r="B318" s="123" t="s">
        <v>766</v>
      </c>
      <c r="C318" s="98">
        <v>2013</v>
      </c>
      <c r="D318" s="101"/>
      <c r="E318" s="99" t="s">
        <v>172</v>
      </c>
      <c r="F318" s="98">
        <v>2011</v>
      </c>
      <c r="G318" s="98" t="s">
        <v>631</v>
      </c>
      <c r="H318" s="101" t="s">
        <v>159</v>
      </c>
      <c r="I318" s="101" t="s">
        <v>1014</v>
      </c>
      <c r="J318" s="115" t="s">
        <v>1013</v>
      </c>
      <c r="K318" s="98" t="s">
        <v>1091</v>
      </c>
      <c r="L318" s="98" t="s">
        <v>974</v>
      </c>
      <c r="M318" s="174"/>
      <c r="N318" s="174"/>
      <c r="O318" s="101" t="s">
        <v>972</v>
      </c>
      <c r="P318" s="174"/>
      <c r="Q318" s="174"/>
      <c r="R318" s="174"/>
      <c r="S318" s="174"/>
      <c r="T318" s="174"/>
      <c r="U318" s="98">
        <v>0.875</v>
      </c>
      <c r="V318" s="174"/>
      <c r="W318" s="174"/>
      <c r="X318" s="101">
        <f t="shared" si="19"/>
        <v>0.875</v>
      </c>
      <c r="Y318" s="111">
        <v>1581</v>
      </c>
      <c r="Z318" s="106" t="str">
        <f t="shared" si="18"/>
        <v>S</v>
      </c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174"/>
      <c r="AL318" s="174"/>
    </row>
    <row r="319" spans="1:38" s="107" customFormat="1">
      <c r="A319" s="174"/>
      <c r="B319" s="123" t="s">
        <v>766</v>
      </c>
      <c r="C319" s="98">
        <v>2013</v>
      </c>
      <c r="D319" s="101"/>
      <c r="E319" s="99" t="s">
        <v>172</v>
      </c>
      <c r="F319" s="98">
        <v>2011</v>
      </c>
      <c r="G319" s="98" t="s">
        <v>631</v>
      </c>
      <c r="H319" s="101" t="s">
        <v>159</v>
      </c>
      <c r="I319" s="101" t="s">
        <v>1014</v>
      </c>
      <c r="J319" s="115" t="s">
        <v>1013</v>
      </c>
      <c r="K319" s="98" t="s">
        <v>1091</v>
      </c>
      <c r="L319" s="98" t="s">
        <v>978</v>
      </c>
      <c r="M319" s="174"/>
      <c r="N319" s="174"/>
      <c r="O319" s="101" t="s">
        <v>977</v>
      </c>
      <c r="P319" s="174"/>
      <c r="Q319" s="174"/>
      <c r="R319" s="174"/>
      <c r="S319" s="174"/>
      <c r="T319" s="174"/>
      <c r="U319" s="98">
        <v>0.875</v>
      </c>
      <c r="V319" s="174"/>
      <c r="W319" s="174"/>
      <c r="X319" s="101">
        <f t="shared" si="19"/>
        <v>0.875</v>
      </c>
      <c r="Y319" s="111">
        <v>1585</v>
      </c>
      <c r="Z319" s="106" t="str">
        <f t="shared" si="18"/>
        <v>S</v>
      </c>
      <c r="AA319" s="174"/>
      <c r="AB319" s="174"/>
      <c r="AC319" s="174"/>
      <c r="AD319" s="174"/>
      <c r="AE319" s="174"/>
      <c r="AF319" s="174"/>
      <c r="AG319" s="174"/>
      <c r="AH319" s="174"/>
      <c r="AI319" s="174"/>
      <c r="AJ319" s="174"/>
      <c r="AK319" s="174"/>
      <c r="AL319" s="174"/>
    </row>
    <row r="320" spans="1:38" s="107" customFormat="1">
      <c r="A320" s="174"/>
      <c r="B320" s="123" t="s">
        <v>766</v>
      </c>
      <c r="C320" s="98">
        <v>2013</v>
      </c>
      <c r="D320" s="101"/>
      <c r="E320" s="99" t="s">
        <v>172</v>
      </c>
      <c r="F320" s="98">
        <v>2011</v>
      </c>
      <c r="G320" s="98" t="s">
        <v>631</v>
      </c>
      <c r="H320" s="101" t="s">
        <v>159</v>
      </c>
      <c r="I320" s="101" t="s">
        <v>1014</v>
      </c>
      <c r="J320" s="115" t="s">
        <v>1013</v>
      </c>
      <c r="K320" s="98" t="s">
        <v>1091</v>
      </c>
      <c r="L320" s="98" t="s">
        <v>974</v>
      </c>
      <c r="M320" s="174"/>
      <c r="N320" s="174"/>
      <c r="O320" s="101" t="s">
        <v>972</v>
      </c>
      <c r="P320" s="174"/>
      <c r="Q320" s="174"/>
      <c r="R320" s="174"/>
      <c r="S320" s="174"/>
      <c r="T320" s="174"/>
      <c r="U320" s="98">
        <v>0.875</v>
      </c>
      <c r="V320" s="174"/>
      <c r="W320" s="174"/>
      <c r="X320" s="101">
        <f t="shared" si="19"/>
        <v>0.875</v>
      </c>
      <c r="Y320" s="111">
        <v>1586</v>
      </c>
      <c r="Z320" s="106" t="str">
        <f t="shared" si="18"/>
        <v>S</v>
      </c>
      <c r="AA320" s="174"/>
      <c r="AB320" s="174"/>
      <c r="AC320" s="174"/>
      <c r="AD320" s="174"/>
      <c r="AE320" s="174"/>
      <c r="AF320" s="174"/>
      <c r="AG320" s="174"/>
      <c r="AH320" s="174"/>
      <c r="AI320" s="174"/>
      <c r="AJ320" s="174"/>
      <c r="AK320" s="174"/>
      <c r="AL320" s="174"/>
    </row>
    <row r="321" spans="1:38" s="107" customFormat="1">
      <c r="A321" s="174"/>
      <c r="B321" s="123" t="s">
        <v>766</v>
      </c>
      <c r="C321" s="98">
        <v>2013</v>
      </c>
      <c r="D321" s="101"/>
      <c r="E321" s="99" t="s">
        <v>172</v>
      </c>
      <c r="F321" s="98">
        <v>2011</v>
      </c>
      <c r="G321" s="98" t="s">
        <v>631</v>
      </c>
      <c r="H321" s="101" t="s">
        <v>159</v>
      </c>
      <c r="I321" s="101" t="s">
        <v>1014</v>
      </c>
      <c r="J321" s="115" t="s">
        <v>1013</v>
      </c>
      <c r="K321" s="98" t="s">
        <v>1091</v>
      </c>
      <c r="L321" s="98" t="s">
        <v>978</v>
      </c>
      <c r="M321" s="174"/>
      <c r="N321" s="174"/>
      <c r="O321" s="101" t="s">
        <v>977</v>
      </c>
      <c r="P321" s="174"/>
      <c r="Q321" s="174"/>
      <c r="R321" s="174"/>
      <c r="S321" s="174"/>
      <c r="T321" s="174"/>
      <c r="U321" s="98">
        <v>0.873</v>
      </c>
      <c r="V321" s="174"/>
      <c r="W321" s="174"/>
      <c r="X321" s="101">
        <f t="shared" si="19"/>
        <v>0.873</v>
      </c>
      <c r="Y321" s="111">
        <v>1582</v>
      </c>
      <c r="Z321" s="106" t="str">
        <f t="shared" si="18"/>
        <v>S</v>
      </c>
      <c r="AA321" s="174"/>
      <c r="AB321" s="174"/>
      <c r="AC321" s="174"/>
      <c r="AD321" s="174"/>
      <c r="AE321" s="174"/>
      <c r="AF321" s="174"/>
      <c r="AG321" s="174"/>
      <c r="AH321" s="174"/>
      <c r="AI321" s="174"/>
      <c r="AJ321" s="174"/>
      <c r="AK321" s="174"/>
      <c r="AL321" s="174"/>
    </row>
    <row r="322" spans="1:38" s="107" customFormat="1">
      <c r="A322" s="174"/>
      <c r="B322" s="123" t="s">
        <v>766</v>
      </c>
      <c r="C322" s="98">
        <v>2013</v>
      </c>
      <c r="D322" s="101"/>
      <c r="E322" s="99" t="s">
        <v>172</v>
      </c>
      <c r="F322" s="98">
        <v>2011</v>
      </c>
      <c r="G322" s="98" t="s">
        <v>631</v>
      </c>
      <c r="H322" s="101" t="s">
        <v>159</v>
      </c>
      <c r="I322" s="101" t="s">
        <v>1014</v>
      </c>
      <c r="J322" s="115" t="s">
        <v>1013</v>
      </c>
      <c r="K322" s="98" t="s">
        <v>1091</v>
      </c>
      <c r="L322" s="98" t="s">
        <v>974</v>
      </c>
      <c r="M322" s="174"/>
      <c r="N322" s="174"/>
      <c r="O322" s="101" t="s">
        <v>972</v>
      </c>
      <c r="P322" s="174"/>
      <c r="Q322" s="174"/>
      <c r="R322" s="174"/>
      <c r="S322" s="174"/>
      <c r="T322" s="174"/>
      <c r="U322" s="98">
        <v>0.871</v>
      </c>
      <c r="V322" s="174"/>
      <c r="W322" s="174"/>
      <c r="X322" s="101">
        <f t="shared" si="19"/>
        <v>0.871</v>
      </c>
      <c r="Y322" s="111">
        <v>1576</v>
      </c>
      <c r="Z322" s="106" t="str">
        <f t="shared" si="18"/>
        <v>S</v>
      </c>
      <c r="AA322" s="174"/>
      <c r="AB322" s="174"/>
      <c r="AC322" s="174"/>
      <c r="AD322" s="174"/>
      <c r="AE322" s="174"/>
      <c r="AF322" s="174"/>
      <c r="AG322" s="174"/>
      <c r="AH322" s="174"/>
      <c r="AI322" s="174"/>
      <c r="AJ322" s="174"/>
      <c r="AK322" s="174"/>
      <c r="AL322" s="174"/>
    </row>
    <row r="323" spans="1:38" s="107" customFormat="1">
      <c r="A323" s="174"/>
      <c r="B323" s="123" t="s">
        <v>766</v>
      </c>
      <c r="C323" s="98">
        <v>2013</v>
      </c>
      <c r="D323" s="101"/>
      <c r="E323" s="99" t="s">
        <v>172</v>
      </c>
      <c r="F323" s="98">
        <v>2011</v>
      </c>
      <c r="G323" s="98" t="s">
        <v>631</v>
      </c>
      <c r="H323" s="101" t="s">
        <v>159</v>
      </c>
      <c r="I323" s="101" t="s">
        <v>1014</v>
      </c>
      <c r="J323" s="115" t="s">
        <v>1013</v>
      </c>
      <c r="K323" s="98" t="s">
        <v>1091</v>
      </c>
      <c r="L323" s="98" t="s">
        <v>978</v>
      </c>
      <c r="M323" s="174"/>
      <c r="N323" s="174"/>
      <c r="O323" s="101" t="s">
        <v>977</v>
      </c>
      <c r="P323" s="174"/>
      <c r="Q323" s="174"/>
      <c r="R323" s="174"/>
      <c r="S323" s="174"/>
      <c r="T323" s="174"/>
      <c r="U323" s="98">
        <v>0.871</v>
      </c>
      <c r="V323" s="174"/>
      <c r="W323" s="174"/>
      <c r="X323" s="101">
        <f t="shared" si="19"/>
        <v>0.871</v>
      </c>
      <c r="Y323" s="111">
        <v>1578</v>
      </c>
      <c r="Z323" s="106" t="str">
        <f t="shared" si="18"/>
        <v>S</v>
      </c>
      <c r="AA323" s="174"/>
      <c r="AB323" s="174"/>
      <c r="AC323" s="174"/>
      <c r="AD323" s="174"/>
      <c r="AE323" s="174"/>
      <c r="AF323" s="174"/>
      <c r="AG323" s="174"/>
      <c r="AH323" s="174"/>
      <c r="AI323" s="174"/>
      <c r="AJ323" s="174"/>
      <c r="AK323" s="174"/>
      <c r="AL323" s="174"/>
    </row>
    <row r="324" spans="1:38" s="107" customFormat="1">
      <c r="A324" s="97">
        <v>197</v>
      </c>
      <c r="B324" s="123" t="s">
        <v>875</v>
      </c>
      <c r="C324" s="98">
        <v>2007</v>
      </c>
      <c r="D324" s="123" t="s">
        <v>928</v>
      </c>
      <c r="E324" s="99" t="s">
        <v>20</v>
      </c>
      <c r="F324" s="98">
        <v>2003</v>
      </c>
      <c r="G324" s="98" t="s">
        <v>326</v>
      </c>
      <c r="H324" s="98" t="s">
        <v>159</v>
      </c>
      <c r="I324" s="98"/>
      <c r="J324" s="174" t="s">
        <v>1013</v>
      </c>
      <c r="K324" s="98" t="s">
        <v>1069</v>
      </c>
      <c r="L324" s="98" t="s">
        <v>403</v>
      </c>
      <c r="M324" s="98"/>
      <c r="N324" s="98"/>
      <c r="O324" s="98" t="s">
        <v>931</v>
      </c>
      <c r="P324" s="98"/>
      <c r="Q324" s="98">
        <v>0.87</v>
      </c>
      <c r="R324" s="98">
        <f>+Q324</f>
        <v>0.87</v>
      </c>
      <c r="S324" s="98"/>
      <c r="T324" s="98">
        <v>0.88</v>
      </c>
      <c r="U324" s="98">
        <f>+T324</f>
        <v>0.88</v>
      </c>
      <c r="V324" s="98"/>
      <c r="W324" s="98">
        <v>1596.9</v>
      </c>
      <c r="X324" s="101">
        <f t="shared" si="19"/>
        <v>0.87</v>
      </c>
      <c r="Y324" s="111">
        <f>+W324</f>
        <v>1596.9</v>
      </c>
      <c r="Z324" s="106" t="str">
        <f t="shared" si="18"/>
        <v>S</v>
      </c>
      <c r="AA324" s="174"/>
      <c r="AB324" s="174"/>
      <c r="AC324" s="174"/>
      <c r="AD324" s="174"/>
      <c r="AE324" s="174"/>
      <c r="AF324" s="174"/>
      <c r="AG324" s="174"/>
      <c r="AH324" s="174"/>
      <c r="AI324" s="174"/>
      <c r="AJ324" s="174"/>
      <c r="AK324" s="174"/>
      <c r="AL324" s="174"/>
    </row>
    <row r="325" spans="1:38" s="107" customFormat="1">
      <c r="A325" s="174"/>
      <c r="B325" s="123" t="s">
        <v>766</v>
      </c>
      <c r="C325" s="98">
        <v>2013</v>
      </c>
      <c r="D325" s="101"/>
      <c r="E325" s="99" t="s">
        <v>172</v>
      </c>
      <c r="F325" s="98">
        <v>2011</v>
      </c>
      <c r="G325" s="98" t="s">
        <v>631</v>
      </c>
      <c r="H325" s="101" t="s">
        <v>159</v>
      </c>
      <c r="I325" s="101" t="s">
        <v>1014</v>
      </c>
      <c r="J325" s="115" t="s">
        <v>1013</v>
      </c>
      <c r="K325" s="98" t="s">
        <v>1091</v>
      </c>
      <c r="L325" s="98" t="s">
        <v>974</v>
      </c>
      <c r="M325" s="174"/>
      <c r="N325" s="174"/>
      <c r="O325" s="101" t="s">
        <v>972</v>
      </c>
      <c r="P325" s="174"/>
      <c r="Q325" s="174"/>
      <c r="R325" s="174"/>
      <c r="S325" s="174"/>
      <c r="T325" s="174"/>
      <c r="U325" s="98">
        <v>0.86899999999999999</v>
      </c>
      <c r="V325" s="174"/>
      <c r="W325" s="174"/>
      <c r="X325" s="101">
        <f t="shared" si="19"/>
        <v>0.86899999999999999</v>
      </c>
      <c r="Y325" s="111">
        <v>1571</v>
      </c>
      <c r="Z325" s="106" t="str">
        <f t="shared" si="18"/>
        <v>S</v>
      </c>
      <c r="AA325" s="174"/>
      <c r="AB325" s="174"/>
      <c r="AC325" s="174"/>
      <c r="AD325" s="174"/>
      <c r="AE325" s="174"/>
      <c r="AF325" s="174"/>
      <c r="AG325" s="174"/>
      <c r="AH325" s="174"/>
      <c r="AI325" s="174"/>
      <c r="AJ325" s="174"/>
      <c r="AK325" s="174"/>
      <c r="AL325" s="174"/>
    </row>
    <row r="326" spans="1:38" s="107" customFormat="1">
      <c r="A326" s="174"/>
      <c r="B326" s="123" t="s">
        <v>766</v>
      </c>
      <c r="C326" s="98">
        <v>2013</v>
      </c>
      <c r="D326" s="101"/>
      <c r="E326" s="99" t="s">
        <v>172</v>
      </c>
      <c r="F326" s="98">
        <v>2011</v>
      </c>
      <c r="G326" s="98" t="s">
        <v>631</v>
      </c>
      <c r="H326" s="101" t="s">
        <v>159</v>
      </c>
      <c r="I326" s="101" t="s">
        <v>1014</v>
      </c>
      <c r="J326" s="115" t="s">
        <v>1013</v>
      </c>
      <c r="K326" s="98" t="s">
        <v>1091</v>
      </c>
      <c r="L326" s="98" t="s">
        <v>978</v>
      </c>
      <c r="M326" s="174"/>
      <c r="N326" s="174"/>
      <c r="O326" s="101" t="s">
        <v>977</v>
      </c>
      <c r="P326" s="174"/>
      <c r="Q326" s="174"/>
      <c r="R326" s="174"/>
      <c r="S326" s="174"/>
      <c r="T326" s="174"/>
      <c r="U326" s="98">
        <v>0.86899999999999999</v>
      </c>
      <c r="V326" s="174"/>
      <c r="W326" s="174"/>
      <c r="X326" s="101">
        <f t="shared" si="19"/>
        <v>0.86899999999999999</v>
      </c>
      <c r="Y326" s="111">
        <v>1572</v>
      </c>
      <c r="Z326" s="106" t="str">
        <f t="shared" si="18"/>
        <v>S</v>
      </c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4"/>
      <c r="AL326" s="174"/>
    </row>
    <row r="327" spans="1:38" s="107" customFormat="1">
      <c r="A327" s="174"/>
      <c r="B327" s="123" t="s">
        <v>766</v>
      </c>
      <c r="C327" s="98">
        <v>2013</v>
      </c>
      <c r="D327" s="101"/>
      <c r="E327" s="99" t="s">
        <v>172</v>
      </c>
      <c r="F327" s="98">
        <v>2011</v>
      </c>
      <c r="G327" s="98" t="s">
        <v>631</v>
      </c>
      <c r="H327" s="101" t="s">
        <v>159</v>
      </c>
      <c r="I327" s="101" t="s">
        <v>1014</v>
      </c>
      <c r="J327" s="115" t="s">
        <v>1013</v>
      </c>
      <c r="K327" s="98" t="s">
        <v>1091</v>
      </c>
      <c r="L327" s="98" t="s">
        <v>975</v>
      </c>
      <c r="M327" s="174"/>
      <c r="N327" s="174"/>
      <c r="O327" s="101" t="s">
        <v>976</v>
      </c>
      <c r="P327" s="174"/>
      <c r="Q327" s="174"/>
      <c r="R327" s="174"/>
      <c r="S327" s="174"/>
      <c r="T327" s="174"/>
      <c r="U327" s="98">
        <v>0.86599999999999999</v>
      </c>
      <c r="V327" s="174"/>
      <c r="W327" s="174"/>
      <c r="X327" s="101">
        <f t="shared" si="19"/>
        <v>0.86599999999999999</v>
      </c>
      <c r="Y327" s="111">
        <v>1567</v>
      </c>
      <c r="Z327" s="106" t="str">
        <f t="shared" si="18"/>
        <v>S</v>
      </c>
      <c r="AA327" s="174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174"/>
      <c r="AL327" s="174"/>
    </row>
    <row r="328" spans="1:38" s="107" customFormat="1">
      <c r="A328" s="174"/>
      <c r="B328" s="123" t="s">
        <v>766</v>
      </c>
      <c r="C328" s="98">
        <v>2013</v>
      </c>
      <c r="D328" s="101"/>
      <c r="E328" s="99" t="s">
        <v>172</v>
      </c>
      <c r="F328" s="98">
        <v>2011</v>
      </c>
      <c r="G328" s="98" t="s">
        <v>631</v>
      </c>
      <c r="H328" s="101" t="s">
        <v>159</v>
      </c>
      <c r="I328" s="101" t="s">
        <v>1014</v>
      </c>
      <c r="J328" s="115" t="s">
        <v>1013</v>
      </c>
      <c r="K328" s="98" t="s">
        <v>1091</v>
      </c>
      <c r="L328" s="98" t="s">
        <v>978</v>
      </c>
      <c r="M328" s="174"/>
      <c r="N328" s="174"/>
      <c r="O328" s="101" t="s">
        <v>977</v>
      </c>
      <c r="P328" s="174"/>
      <c r="Q328" s="174"/>
      <c r="R328" s="174"/>
      <c r="S328" s="174"/>
      <c r="T328" s="174"/>
      <c r="U328" s="98">
        <v>0.86599999999999999</v>
      </c>
      <c r="V328" s="174"/>
      <c r="W328" s="174"/>
      <c r="X328" s="101">
        <f t="shared" si="19"/>
        <v>0.86599999999999999</v>
      </c>
      <c r="Y328" s="111">
        <v>1568</v>
      </c>
      <c r="Z328" s="106" t="str">
        <f t="shared" si="18"/>
        <v>S</v>
      </c>
      <c r="AA328" s="174"/>
      <c r="AB328" s="174"/>
      <c r="AC328" s="174"/>
      <c r="AD328" s="174"/>
      <c r="AE328" s="174"/>
      <c r="AF328" s="174"/>
      <c r="AG328" s="174"/>
      <c r="AH328" s="174"/>
      <c r="AI328" s="174"/>
      <c r="AJ328" s="174"/>
      <c r="AK328" s="174"/>
      <c r="AL328" s="174"/>
    </row>
    <row r="329" spans="1:38" s="107" customFormat="1">
      <c r="A329" s="174"/>
      <c r="B329" s="123" t="s">
        <v>766</v>
      </c>
      <c r="C329" s="98">
        <v>2013</v>
      </c>
      <c r="D329" s="101"/>
      <c r="E329" s="99" t="s">
        <v>172</v>
      </c>
      <c r="F329" s="98">
        <v>2011</v>
      </c>
      <c r="G329" s="98" t="s">
        <v>631</v>
      </c>
      <c r="H329" s="101" t="s">
        <v>159</v>
      </c>
      <c r="I329" s="101" t="s">
        <v>1014</v>
      </c>
      <c r="J329" s="115" t="s">
        <v>1013</v>
      </c>
      <c r="K329" s="98" t="s">
        <v>1091</v>
      </c>
      <c r="L329" s="98" t="s">
        <v>978</v>
      </c>
      <c r="M329" s="174"/>
      <c r="N329" s="174"/>
      <c r="O329" s="101" t="s">
        <v>977</v>
      </c>
      <c r="P329" s="174"/>
      <c r="Q329" s="174"/>
      <c r="R329" s="174"/>
      <c r="S329" s="174"/>
      <c r="T329" s="174"/>
      <c r="U329" s="98">
        <v>0.86499999999999999</v>
      </c>
      <c r="V329" s="174"/>
      <c r="W329" s="174"/>
      <c r="X329" s="101">
        <f t="shared" si="19"/>
        <v>0.86499999999999999</v>
      </c>
      <c r="Y329" s="111">
        <v>1566</v>
      </c>
      <c r="Z329" s="106" t="str">
        <f t="shared" si="18"/>
        <v>S</v>
      </c>
      <c r="AA329" s="174"/>
      <c r="AB329" s="174"/>
      <c r="AC329" s="174"/>
      <c r="AD329" s="174"/>
      <c r="AE329" s="174"/>
      <c r="AF329" s="174"/>
      <c r="AG329" s="174"/>
      <c r="AH329" s="174"/>
      <c r="AI329" s="174"/>
      <c r="AJ329" s="174"/>
      <c r="AK329" s="174"/>
      <c r="AL329" s="174"/>
    </row>
    <row r="330" spans="1:38" s="107" customFormat="1">
      <c r="A330" s="174"/>
      <c r="B330" s="123" t="s">
        <v>766</v>
      </c>
      <c r="C330" s="98">
        <v>2013</v>
      </c>
      <c r="D330" s="101"/>
      <c r="E330" s="99" t="s">
        <v>172</v>
      </c>
      <c r="F330" s="98">
        <v>2011</v>
      </c>
      <c r="G330" s="98" t="s">
        <v>631</v>
      </c>
      <c r="H330" s="101" t="s">
        <v>159</v>
      </c>
      <c r="I330" s="101" t="s">
        <v>1014</v>
      </c>
      <c r="J330" s="115" t="s">
        <v>1013</v>
      </c>
      <c r="K330" s="98" t="s">
        <v>1091</v>
      </c>
      <c r="L330" s="98" t="s">
        <v>978</v>
      </c>
      <c r="M330" s="174"/>
      <c r="N330" s="174"/>
      <c r="O330" s="101" t="s">
        <v>977</v>
      </c>
      <c r="P330" s="174"/>
      <c r="Q330" s="174"/>
      <c r="R330" s="174"/>
      <c r="S330" s="174"/>
      <c r="T330" s="174"/>
      <c r="U330" s="98">
        <v>0.86399999999999999</v>
      </c>
      <c r="V330" s="174"/>
      <c r="W330" s="174"/>
      <c r="X330" s="101">
        <f t="shared" si="19"/>
        <v>0.86399999999999999</v>
      </c>
      <c r="Y330" s="111">
        <v>1563</v>
      </c>
      <c r="Z330" s="106" t="str">
        <f t="shared" si="18"/>
        <v>S</v>
      </c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  <c r="AL330" s="174"/>
    </row>
    <row r="331" spans="1:38" s="107" customFormat="1">
      <c r="A331" s="174"/>
      <c r="B331" s="123" t="s">
        <v>766</v>
      </c>
      <c r="C331" s="98">
        <v>2013</v>
      </c>
      <c r="D331" s="101"/>
      <c r="E331" s="99" t="s">
        <v>172</v>
      </c>
      <c r="F331" s="98">
        <v>2011</v>
      </c>
      <c r="G331" s="98" t="s">
        <v>631</v>
      </c>
      <c r="H331" s="101" t="s">
        <v>159</v>
      </c>
      <c r="I331" s="101" t="s">
        <v>1014</v>
      </c>
      <c r="J331" s="115" t="s">
        <v>1013</v>
      </c>
      <c r="K331" s="98" t="s">
        <v>1091</v>
      </c>
      <c r="L331" s="98" t="s">
        <v>978</v>
      </c>
      <c r="M331" s="174"/>
      <c r="N331" s="174"/>
      <c r="O331" s="101" t="s">
        <v>977</v>
      </c>
      <c r="P331" s="174"/>
      <c r="Q331" s="174"/>
      <c r="R331" s="174"/>
      <c r="S331" s="174"/>
      <c r="T331" s="174"/>
      <c r="U331" s="98">
        <v>0.86299999999999999</v>
      </c>
      <c r="V331" s="174"/>
      <c r="W331" s="174"/>
      <c r="X331" s="101">
        <f t="shared" si="19"/>
        <v>0.86299999999999999</v>
      </c>
      <c r="Y331" s="111">
        <v>1562</v>
      </c>
      <c r="Z331" s="106" t="str">
        <f t="shared" si="18"/>
        <v>S</v>
      </c>
      <c r="AA331" s="174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174"/>
      <c r="AL331" s="174"/>
    </row>
    <row r="332" spans="1:38" s="107" customFormat="1">
      <c r="A332" s="174"/>
      <c r="B332" s="123" t="s">
        <v>766</v>
      </c>
      <c r="C332" s="98">
        <v>2013</v>
      </c>
      <c r="D332" s="101"/>
      <c r="E332" s="99" t="s">
        <v>172</v>
      </c>
      <c r="F332" s="98">
        <v>2011</v>
      </c>
      <c r="G332" s="98" t="s">
        <v>631</v>
      </c>
      <c r="H332" s="101" t="s">
        <v>159</v>
      </c>
      <c r="I332" s="101" t="s">
        <v>1014</v>
      </c>
      <c r="J332" s="115" t="s">
        <v>1013</v>
      </c>
      <c r="K332" s="98" t="s">
        <v>1091</v>
      </c>
      <c r="L332" s="98" t="s">
        <v>978</v>
      </c>
      <c r="M332" s="174"/>
      <c r="N332" s="174"/>
      <c r="O332" s="101" t="s">
        <v>977</v>
      </c>
      <c r="P332" s="174"/>
      <c r="Q332" s="174"/>
      <c r="R332" s="174"/>
      <c r="S332" s="174"/>
      <c r="T332" s="174"/>
      <c r="U332" s="98">
        <v>0.86299999999999999</v>
      </c>
      <c r="V332" s="174"/>
      <c r="W332" s="174"/>
      <c r="X332" s="101">
        <f t="shared" si="19"/>
        <v>0.86299999999999999</v>
      </c>
      <c r="Y332" s="111">
        <v>1562</v>
      </c>
      <c r="Z332" s="106" t="str">
        <f t="shared" si="18"/>
        <v>S</v>
      </c>
      <c r="AA332" s="174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174"/>
      <c r="AL332" s="174"/>
    </row>
    <row r="333" spans="1:38" s="107" customFormat="1">
      <c r="A333" s="97">
        <v>101</v>
      </c>
      <c r="B333" s="123" t="s">
        <v>298</v>
      </c>
      <c r="C333" s="98">
        <v>1994</v>
      </c>
      <c r="D333" s="123" t="s">
        <v>299</v>
      </c>
      <c r="E333" s="99" t="s">
        <v>172</v>
      </c>
      <c r="F333" s="98">
        <v>1994</v>
      </c>
      <c r="G333" s="98" t="s">
        <v>301</v>
      </c>
      <c r="H333" s="98" t="s">
        <v>302</v>
      </c>
      <c r="I333" s="98" t="s">
        <v>1014</v>
      </c>
      <c r="J333" s="98" t="s">
        <v>1013</v>
      </c>
      <c r="K333" s="98"/>
      <c r="L333" s="98" t="s">
        <v>303</v>
      </c>
      <c r="M333" s="98"/>
      <c r="N333" s="98"/>
      <c r="O333" s="98" t="s">
        <v>309</v>
      </c>
      <c r="P333" s="98"/>
      <c r="Q333" s="98"/>
      <c r="R333" s="98"/>
      <c r="S333" s="98"/>
      <c r="T333" s="98"/>
      <c r="U333" s="98">
        <v>0.86</v>
      </c>
      <c r="V333" s="98"/>
      <c r="W333" s="98"/>
      <c r="X333" s="101">
        <f t="shared" si="19"/>
        <v>0.86</v>
      </c>
      <c r="Y333" s="111">
        <v>1561</v>
      </c>
      <c r="Z333" s="106" t="str">
        <f t="shared" si="18"/>
        <v>S</v>
      </c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  <c r="AL333" s="174"/>
    </row>
    <row r="334" spans="1:38" s="107" customFormat="1">
      <c r="A334" s="97"/>
      <c r="B334" s="258" t="s">
        <v>1276</v>
      </c>
      <c r="C334" s="259">
        <v>1989</v>
      </c>
      <c r="D334" s="101"/>
      <c r="E334" s="103" t="s">
        <v>49</v>
      </c>
      <c r="F334" s="98"/>
      <c r="G334" s="98"/>
      <c r="H334" s="98"/>
      <c r="I334" s="98"/>
      <c r="J334" s="292" t="s">
        <v>1013</v>
      </c>
      <c r="K334" s="292" t="s">
        <v>1256</v>
      </c>
      <c r="L334" s="98"/>
      <c r="M334" s="98"/>
      <c r="N334" s="98"/>
      <c r="O334" s="107" t="s">
        <v>1271</v>
      </c>
      <c r="P334" s="98"/>
      <c r="Q334" s="98"/>
      <c r="R334" s="107">
        <v>0.85399999999999998</v>
      </c>
      <c r="S334" s="98"/>
      <c r="T334" s="98"/>
      <c r="U334" s="98"/>
      <c r="V334" s="98"/>
      <c r="W334" s="98"/>
      <c r="X334" s="101">
        <f t="shared" si="19"/>
        <v>0.85399999999999998</v>
      </c>
      <c r="Y334" s="107">
        <v>1566</v>
      </c>
      <c r="Z334" s="106" t="str">
        <f t="shared" si="18"/>
        <v>S</v>
      </c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</row>
    <row r="335" spans="1:38" s="107" customFormat="1">
      <c r="A335" s="97"/>
      <c r="B335" s="258" t="s">
        <v>1276</v>
      </c>
      <c r="C335" s="259">
        <v>1989</v>
      </c>
      <c r="D335" s="101"/>
      <c r="E335" s="103" t="s">
        <v>49</v>
      </c>
      <c r="F335" s="98"/>
      <c r="G335" s="98"/>
      <c r="H335" s="98"/>
      <c r="I335" s="98"/>
      <c r="J335" s="292" t="s">
        <v>1013</v>
      </c>
      <c r="K335" s="292" t="s">
        <v>1002</v>
      </c>
      <c r="L335" s="98"/>
      <c r="M335" s="98"/>
      <c r="N335" s="98"/>
      <c r="O335" s="107" t="s">
        <v>1250</v>
      </c>
      <c r="P335" s="98"/>
      <c r="Q335" s="98"/>
      <c r="R335" s="107">
        <v>0.85</v>
      </c>
      <c r="S335" s="98"/>
      <c r="T335" s="98"/>
      <c r="U335" s="98"/>
      <c r="V335" s="98"/>
      <c r="W335" s="98"/>
      <c r="X335" s="101">
        <f t="shared" si="19"/>
        <v>0.85</v>
      </c>
      <c r="Y335" s="107">
        <v>1560</v>
      </c>
      <c r="Z335" s="106" t="str">
        <f t="shared" ref="Z335:Z366" si="20">IF(X335&lt;&gt;"",IF(X335&lt;0.9,"S","F"),"")</f>
        <v>S</v>
      </c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  <c r="AL335" s="174"/>
    </row>
    <row r="336" spans="1:38" s="107" customFormat="1">
      <c r="A336" s="97">
        <v>46</v>
      </c>
      <c r="B336" s="103" t="s">
        <v>45</v>
      </c>
      <c r="C336" s="103">
        <v>1984</v>
      </c>
      <c r="D336" s="103" t="s">
        <v>113</v>
      </c>
      <c r="E336" s="99" t="s">
        <v>49</v>
      </c>
      <c r="F336" s="98">
        <v>1983</v>
      </c>
      <c r="G336" s="98" t="s">
        <v>116</v>
      </c>
      <c r="H336" s="98" t="s">
        <v>95</v>
      </c>
      <c r="I336" s="98"/>
      <c r="J336" s="98" t="s">
        <v>1013</v>
      </c>
      <c r="K336" s="98" t="s">
        <v>1134</v>
      </c>
      <c r="L336" s="98" t="s">
        <v>117</v>
      </c>
      <c r="M336" s="98"/>
      <c r="N336" s="98"/>
      <c r="O336" s="98" t="s">
        <v>128</v>
      </c>
      <c r="P336" s="98"/>
      <c r="Q336" s="98"/>
      <c r="R336" s="98">
        <v>0.85</v>
      </c>
      <c r="S336" s="98"/>
      <c r="T336" s="98"/>
      <c r="U336" s="98"/>
      <c r="V336" s="98"/>
      <c r="W336" s="98"/>
      <c r="X336" s="101">
        <f t="shared" si="19"/>
        <v>0.85</v>
      </c>
      <c r="Y336" s="111">
        <v>1555</v>
      </c>
      <c r="Z336" s="106" t="str">
        <f t="shared" si="20"/>
        <v>S</v>
      </c>
      <c r="AA336" s="174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  <c r="AL336" s="174"/>
    </row>
    <row r="337" spans="1:38" s="107" customFormat="1">
      <c r="A337" s="174"/>
      <c r="B337" s="123" t="s">
        <v>766</v>
      </c>
      <c r="C337" s="98">
        <v>2013</v>
      </c>
      <c r="D337" s="101"/>
      <c r="E337" s="99" t="s">
        <v>172</v>
      </c>
      <c r="F337" s="98">
        <v>2011</v>
      </c>
      <c r="G337" s="98" t="s">
        <v>631</v>
      </c>
      <c r="H337" s="101" t="s">
        <v>159</v>
      </c>
      <c r="I337" s="101" t="s">
        <v>1014</v>
      </c>
      <c r="J337" s="115" t="s">
        <v>1013</v>
      </c>
      <c r="K337" s="98" t="s">
        <v>1091</v>
      </c>
      <c r="L337" s="98" t="s">
        <v>974</v>
      </c>
      <c r="M337" s="174"/>
      <c r="N337" s="174"/>
      <c r="O337" s="101" t="s">
        <v>972</v>
      </c>
      <c r="P337" s="174"/>
      <c r="Q337" s="174"/>
      <c r="R337" s="174"/>
      <c r="S337" s="174"/>
      <c r="T337" s="174"/>
      <c r="U337" s="98">
        <v>0.84899999999999998</v>
      </c>
      <c r="V337" s="174"/>
      <c r="W337" s="174"/>
      <c r="X337" s="101">
        <f t="shared" si="19"/>
        <v>0.84899999999999998</v>
      </c>
      <c r="Y337" s="111">
        <v>1528</v>
      </c>
      <c r="Z337" s="106" t="str">
        <f t="shared" si="20"/>
        <v>S</v>
      </c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  <c r="AL337" s="174"/>
    </row>
    <row r="338" spans="1:38" s="107" customFormat="1">
      <c r="A338" s="97"/>
      <c r="B338" s="258" t="s">
        <v>1276</v>
      </c>
      <c r="C338" s="259">
        <v>1989</v>
      </c>
      <c r="D338" s="101"/>
      <c r="E338" s="103" t="s">
        <v>49</v>
      </c>
      <c r="F338" s="98"/>
      <c r="G338" s="98"/>
      <c r="H338" s="98"/>
      <c r="I338" s="98"/>
      <c r="J338" s="292" t="s">
        <v>1013</v>
      </c>
      <c r="K338" s="292" t="s">
        <v>1256</v>
      </c>
      <c r="L338" s="98"/>
      <c r="M338" s="98"/>
      <c r="N338" s="98"/>
      <c r="O338" s="107" t="s">
        <v>1275</v>
      </c>
      <c r="P338" s="98"/>
      <c r="Q338" s="98"/>
      <c r="R338" s="107">
        <v>0.84699999999999998</v>
      </c>
      <c r="S338" s="98"/>
      <c r="T338" s="98"/>
      <c r="U338" s="98"/>
      <c r="V338" s="98"/>
      <c r="W338" s="98"/>
      <c r="X338" s="101">
        <f t="shared" si="19"/>
        <v>0.84699999999999998</v>
      </c>
      <c r="Y338" s="107">
        <v>1554</v>
      </c>
      <c r="Z338" s="106" t="str">
        <f t="shared" si="20"/>
        <v>S</v>
      </c>
      <c r="AA338" s="174"/>
      <c r="AB338" s="174"/>
      <c r="AC338" s="174"/>
      <c r="AD338" s="174"/>
      <c r="AE338" s="174"/>
      <c r="AF338" s="174"/>
      <c r="AG338" s="174"/>
      <c r="AH338" s="174"/>
      <c r="AI338" s="174"/>
      <c r="AJ338" s="174"/>
      <c r="AK338" s="174"/>
      <c r="AL338" s="174"/>
    </row>
    <row r="339" spans="1:38" s="107" customFormat="1">
      <c r="A339" s="97"/>
      <c r="B339" s="258" t="s">
        <v>1276</v>
      </c>
      <c r="C339" s="259">
        <v>1989</v>
      </c>
      <c r="D339" s="101"/>
      <c r="E339" s="103" t="s">
        <v>49</v>
      </c>
      <c r="F339" s="98"/>
      <c r="G339" s="98"/>
      <c r="H339" s="98"/>
      <c r="I339" s="98"/>
      <c r="J339" s="292" t="s">
        <v>1013</v>
      </c>
      <c r="K339" s="292" t="s">
        <v>1002</v>
      </c>
      <c r="L339" s="98"/>
      <c r="M339" s="98"/>
      <c r="N339" s="98"/>
      <c r="O339" s="107" t="s">
        <v>1255</v>
      </c>
      <c r="P339" s="98"/>
      <c r="Q339" s="98"/>
      <c r="R339" s="107">
        <v>0.84599999999999997</v>
      </c>
      <c r="S339" s="98"/>
      <c r="T339" s="98"/>
      <c r="U339" s="98"/>
      <c r="V339" s="98"/>
      <c r="W339" s="98"/>
      <c r="X339" s="101">
        <f t="shared" si="19"/>
        <v>0.84599999999999997</v>
      </c>
      <c r="Y339" s="107">
        <v>1553</v>
      </c>
      <c r="Z339" s="106" t="str">
        <f t="shared" si="20"/>
        <v>S</v>
      </c>
      <c r="AA339" s="174"/>
      <c r="AB339" s="174"/>
      <c r="AC339" s="174"/>
      <c r="AD339" s="174"/>
      <c r="AE339" s="174"/>
      <c r="AF339" s="174"/>
      <c r="AG339" s="174"/>
      <c r="AH339" s="174"/>
      <c r="AI339" s="174"/>
      <c r="AJ339" s="174"/>
      <c r="AK339" s="174"/>
      <c r="AL339" s="174"/>
    </row>
    <row r="340" spans="1:38" s="107" customFormat="1">
      <c r="A340" s="174"/>
      <c r="B340" s="123" t="s">
        <v>766</v>
      </c>
      <c r="C340" s="98">
        <v>2013</v>
      </c>
      <c r="D340" s="101"/>
      <c r="E340" s="99" t="s">
        <v>172</v>
      </c>
      <c r="F340" s="98">
        <v>2011</v>
      </c>
      <c r="G340" s="98" t="s">
        <v>631</v>
      </c>
      <c r="H340" s="101" t="s">
        <v>159</v>
      </c>
      <c r="I340" s="101" t="s">
        <v>1014</v>
      </c>
      <c r="J340" s="115" t="s">
        <v>1013</v>
      </c>
      <c r="K340" s="98" t="s">
        <v>1091</v>
      </c>
      <c r="L340" s="98" t="s">
        <v>974</v>
      </c>
      <c r="M340" s="174"/>
      <c r="N340" s="174"/>
      <c r="O340" s="101" t="s">
        <v>972</v>
      </c>
      <c r="P340" s="174"/>
      <c r="Q340" s="174"/>
      <c r="R340" s="174"/>
      <c r="S340" s="174"/>
      <c r="T340" s="174"/>
      <c r="U340" s="98">
        <v>0.84499999999999997</v>
      </c>
      <c r="V340" s="174"/>
      <c r="W340" s="174"/>
      <c r="X340" s="101">
        <f t="shared" si="19"/>
        <v>0.84499999999999997</v>
      </c>
      <c r="Y340" s="111">
        <v>1527</v>
      </c>
      <c r="Z340" s="106" t="str">
        <f t="shared" si="20"/>
        <v>S</v>
      </c>
      <c r="AA340" s="174"/>
      <c r="AB340" s="174"/>
      <c r="AC340" s="174"/>
      <c r="AD340" s="174"/>
      <c r="AE340" s="174"/>
      <c r="AF340" s="174"/>
      <c r="AG340" s="174"/>
      <c r="AH340" s="174"/>
      <c r="AI340" s="174"/>
      <c r="AJ340" s="174"/>
      <c r="AK340" s="174"/>
      <c r="AL340" s="174"/>
    </row>
    <row r="341" spans="1:38" s="107" customFormat="1">
      <c r="A341" s="97"/>
      <c r="B341" s="258" t="s">
        <v>1276</v>
      </c>
      <c r="C341" s="259">
        <v>1989</v>
      </c>
      <c r="D341" s="101"/>
      <c r="E341" s="103" t="s">
        <v>49</v>
      </c>
      <c r="F341" s="98"/>
      <c r="G341" s="98"/>
      <c r="H341" s="98"/>
      <c r="I341" s="98"/>
      <c r="J341" s="292" t="s">
        <v>1013</v>
      </c>
      <c r="K341" s="292" t="s">
        <v>1257</v>
      </c>
      <c r="L341" s="98"/>
      <c r="M341" s="98"/>
      <c r="N341" s="98"/>
      <c r="O341" s="107" t="s">
        <v>1264</v>
      </c>
      <c r="P341" s="98"/>
      <c r="Q341" s="98"/>
      <c r="R341" s="107">
        <v>0.84199999999999997</v>
      </c>
      <c r="S341" s="98"/>
      <c r="T341" s="98"/>
      <c r="U341" s="98"/>
      <c r="V341" s="98"/>
      <c r="W341" s="98"/>
      <c r="X341" s="101">
        <f t="shared" si="19"/>
        <v>0.84199999999999997</v>
      </c>
      <c r="Y341" s="107">
        <v>1545</v>
      </c>
      <c r="Z341" s="106" t="str">
        <f t="shared" si="20"/>
        <v>S</v>
      </c>
      <c r="AA341" s="174"/>
      <c r="AB341" s="174"/>
      <c r="AC341" s="174"/>
      <c r="AD341" s="174"/>
      <c r="AE341" s="174"/>
      <c r="AF341" s="174"/>
      <c r="AG341" s="174"/>
      <c r="AH341" s="174"/>
      <c r="AI341" s="174"/>
      <c r="AJ341" s="174"/>
      <c r="AK341" s="174"/>
      <c r="AL341" s="174"/>
    </row>
    <row r="342" spans="1:38" s="107" customFormat="1">
      <c r="A342" s="97"/>
      <c r="B342" s="258" t="s">
        <v>1276</v>
      </c>
      <c r="C342" s="259">
        <v>1989</v>
      </c>
      <c r="D342" s="101"/>
      <c r="E342" s="103" t="s">
        <v>49</v>
      </c>
      <c r="F342" s="98"/>
      <c r="G342" s="98"/>
      <c r="H342" s="98"/>
      <c r="I342" s="98"/>
      <c r="J342" s="292" t="s">
        <v>1013</v>
      </c>
      <c r="K342" s="292" t="s">
        <v>1002</v>
      </c>
      <c r="L342" s="98"/>
      <c r="M342" s="98"/>
      <c r="N342" s="98"/>
      <c r="O342" s="107" t="s">
        <v>1252</v>
      </c>
      <c r="P342" s="98"/>
      <c r="Q342" s="98"/>
      <c r="R342" s="107">
        <v>0.84099999999999997</v>
      </c>
      <c r="S342" s="98"/>
      <c r="T342" s="98"/>
      <c r="U342" s="98"/>
      <c r="V342" s="98"/>
      <c r="W342" s="98"/>
      <c r="X342" s="101">
        <f t="shared" si="19"/>
        <v>0.84099999999999997</v>
      </c>
      <c r="Y342" s="107">
        <v>1544</v>
      </c>
      <c r="Z342" s="106" t="str">
        <f t="shared" si="20"/>
        <v>S</v>
      </c>
      <c r="AA342" s="174"/>
      <c r="AB342" s="174"/>
      <c r="AC342" s="174"/>
      <c r="AD342" s="174"/>
      <c r="AE342" s="174"/>
      <c r="AF342" s="174"/>
      <c r="AG342" s="174"/>
      <c r="AH342" s="174"/>
      <c r="AI342" s="174"/>
      <c r="AJ342" s="174"/>
      <c r="AK342" s="174"/>
      <c r="AL342" s="174"/>
    </row>
    <row r="343" spans="1:38" s="107" customFormat="1">
      <c r="A343" s="97"/>
      <c r="B343" s="258" t="s">
        <v>1276</v>
      </c>
      <c r="C343" s="259">
        <v>1989</v>
      </c>
      <c r="D343" s="101"/>
      <c r="E343" s="103" t="s">
        <v>49</v>
      </c>
      <c r="F343" s="98"/>
      <c r="G343" s="98"/>
      <c r="H343" s="98"/>
      <c r="I343" s="98"/>
      <c r="J343" s="292" t="s">
        <v>1013</v>
      </c>
      <c r="K343" s="292" t="s">
        <v>1257</v>
      </c>
      <c r="L343" s="98"/>
      <c r="M343" s="98"/>
      <c r="N343" s="98"/>
      <c r="O343" s="107" t="s">
        <v>1262</v>
      </c>
      <c r="P343" s="98"/>
      <c r="Q343" s="98"/>
      <c r="R343" s="107">
        <v>0.84099999999999997</v>
      </c>
      <c r="S343" s="98"/>
      <c r="T343" s="98"/>
      <c r="U343" s="98"/>
      <c r="V343" s="98"/>
      <c r="W343" s="98"/>
      <c r="X343" s="101">
        <f t="shared" si="19"/>
        <v>0.84099999999999997</v>
      </c>
      <c r="Y343" s="107">
        <v>1543</v>
      </c>
      <c r="Z343" s="106" t="str">
        <f t="shared" si="20"/>
        <v>S</v>
      </c>
      <c r="AA343" s="174"/>
      <c r="AB343" s="174"/>
      <c r="AC343" s="174"/>
      <c r="AD343" s="174"/>
      <c r="AE343" s="174"/>
      <c r="AF343" s="174"/>
      <c r="AG343" s="174"/>
      <c r="AH343" s="174"/>
      <c r="AI343" s="174"/>
      <c r="AJ343" s="174"/>
      <c r="AK343" s="174"/>
      <c r="AL343" s="174"/>
    </row>
    <row r="344" spans="1:38" s="107" customFormat="1">
      <c r="A344" s="97"/>
      <c r="B344" s="258" t="s">
        <v>1276</v>
      </c>
      <c r="C344" s="259">
        <v>1989</v>
      </c>
      <c r="D344" s="101"/>
      <c r="E344" s="103" t="s">
        <v>49</v>
      </c>
      <c r="F344" s="98"/>
      <c r="G344" s="98"/>
      <c r="H344" s="98"/>
      <c r="I344" s="98"/>
      <c r="J344" s="292" t="s">
        <v>1013</v>
      </c>
      <c r="K344" s="292" t="s">
        <v>1256</v>
      </c>
      <c r="L344" s="98"/>
      <c r="M344" s="98"/>
      <c r="N344" s="98"/>
      <c r="O344" s="107" t="s">
        <v>1273</v>
      </c>
      <c r="P344" s="98"/>
      <c r="Q344" s="98"/>
      <c r="R344" s="107">
        <v>0.84099999999999997</v>
      </c>
      <c r="S344" s="98"/>
      <c r="T344" s="98"/>
      <c r="U344" s="98"/>
      <c r="V344" s="98"/>
      <c r="W344" s="98"/>
      <c r="X344" s="101">
        <f t="shared" si="19"/>
        <v>0.84099999999999997</v>
      </c>
      <c r="Y344" s="107">
        <v>1543</v>
      </c>
      <c r="Z344" s="106" t="str">
        <f t="shared" si="20"/>
        <v>S</v>
      </c>
      <c r="AA344" s="174"/>
      <c r="AB344" s="174"/>
      <c r="AC344" s="174"/>
      <c r="AD344" s="174"/>
      <c r="AE344" s="174"/>
      <c r="AF344" s="174"/>
      <c r="AG344" s="174"/>
      <c r="AH344" s="174"/>
      <c r="AI344" s="174"/>
      <c r="AJ344" s="174"/>
      <c r="AK344" s="174"/>
      <c r="AL344" s="174"/>
    </row>
    <row r="345" spans="1:38" s="107" customFormat="1">
      <c r="A345" s="97">
        <v>35</v>
      </c>
      <c r="B345" s="103" t="s">
        <v>45</v>
      </c>
      <c r="C345" s="103">
        <v>1982</v>
      </c>
      <c r="D345" s="103" t="s">
        <v>46</v>
      </c>
      <c r="E345" s="99" t="s">
        <v>49</v>
      </c>
      <c r="F345" s="98" t="s">
        <v>50</v>
      </c>
      <c r="G345" s="98" t="s">
        <v>51</v>
      </c>
      <c r="H345" s="98" t="s">
        <v>23</v>
      </c>
      <c r="I345" s="98"/>
      <c r="J345" s="98" t="s">
        <v>1013</v>
      </c>
      <c r="K345" s="98" t="s">
        <v>1134</v>
      </c>
      <c r="L345" s="98" t="s">
        <v>52</v>
      </c>
      <c r="M345" s="98"/>
      <c r="N345" s="98"/>
      <c r="O345" s="98" t="s">
        <v>67</v>
      </c>
      <c r="P345" s="98"/>
      <c r="Q345" s="98">
        <v>0.84</v>
      </c>
      <c r="R345" s="98">
        <f>+Q345</f>
        <v>0.84</v>
      </c>
      <c r="S345" s="98"/>
      <c r="T345" s="98"/>
      <c r="U345" s="98"/>
      <c r="V345" s="98"/>
      <c r="W345" s="98">
        <v>1534</v>
      </c>
      <c r="X345" s="101">
        <f t="shared" si="19"/>
        <v>0.84</v>
      </c>
      <c r="Y345" s="111">
        <f>+W345</f>
        <v>1534</v>
      </c>
      <c r="Z345" s="106" t="str">
        <f t="shared" si="20"/>
        <v>S</v>
      </c>
      <c r="AA345" s="174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174"/>
      <c r="AL345" s="174"/>
    </row>
    <row r="346" spans="1:38" s="107" customFormat="1">
      <c r="A346" s="97">
        <v>35</v>
      </c>
      <c r="B346" s="103" t="s">
        <v>45</v>
      </c>
      <c r="C346" s="103">
        <v>1982</v>
      </c>
      <c r="D346" s="103" t="s">
        <v>46</v>
      </c>
      <c r="E346" s="99" t="s">
        <v>49</v>
      </c>
      <c r="F346" s="98" t="s">
        <v>50</v>
      </c>
      <c r="G346" s="98" t="s">
        <v>51</v>
      </c>
      <c r="H346" s="98" t="s">
        <v>23</v>
      </c>
      <c r="I346" s="98"/>
      <c r="J346" s="98" t="s">
        <v>1013</v>
      </c>
      <c r="K346" s="98" t="s">
        <v>1134</v>
      </c>
      <c r="L346" s="98" t="s">
        <v>52</v>
      </c>
      <c r="M346" s="98"/>
      <c r="N346" s="98"/>
      <c r="O346" s="98" t="s">
        <v>71</v>
      </c>
      <c r="P346" s="98">
        <v>0.84</v>
      </c>
      <c r="Q346" s="98"/>
      <c r="R346" s="98">
        <f>+P346</f>
        <v>0.84</v>
      </c>
      <c r="S346" s="98"/>
      <c r="T346" s="98"/>
      <c r="U346" s="98"/>
      <c r="V346" s="98">
        <v>1538</v>
      </c>
      <c r="W346" s="98"/>
      <c r="X346" s="101">
        <f t="shared" si="19"/>
        <v>0.84</v>
      </c>
      <c r="Y346" s="111">
        <f>+V346</f>
        <v>1538</v>
      </c>
      <c r="Z346" s="106" t="str">
        <f t="shared" si="20"/>
        <v>S</v>
      </c>
      <c r="AA346" s="174"/>
      <c r="AB346" s="174"/>
      <c r="AC346" s="174"/>
      <c r="AD346" s="174"/>
      <c r="AE346" s="174"/>
      <c r="AF346" s="174"/>
      <c r="AG346" s="174"/>
      <c r="AH346" s="174"/>
      <c r="AI346" s="174"/>
      <c r="AJ346" s="174"/>
      <c r="AK346" s="174"/>
      <c r="AL346" s="174"/>
    </row>
    <row r="347" spans="1:38" s="107" customFormat="1">
      <c r="A347" s="97"/>
      <c r="B347" s="258" t="s">
        <v>1276</v>
      </c>
      <c r="C347" s="259">
        <v>1989</v>
      </c>
      <c r="D347" s="101"/>
      <c r="E347" s="103" t="s">
        <v>49</v>
      </c>
      <c r="F347" s="98"/>
      <c r="G347" s="98"/>
      <c r="H347" s="98"/>
      <c r="I347" s="98"/>
      <c r="J347" s="292" t="s">
        <v>1013</v>
      </c>
      <c r="K347" s="292" t="s">
        <v>1257</v>
      </c>
      <c r="L347" s="98"/>
      <c r="M347" s="98"/>
      <c r="N347" s="98"/>
      <c r="O347" s="107" t="s">
        <v>1263</v>
      </c>
      <c r="P347" s="98"/>
      <c r="Q347" s="98"/>
      <c r="R347" s="107">
        <v>0.83199999999999996</v>
      </c>
      <c r="S347" s="98"/>
      <c r="T347" s="98"/>
      <c r="U347" s="98"/>
      <c r="V347" s="98"/>
      <c r="W347" s="98"/>
      <c r="X347" s="101">
        <f t="shared" si="19"/>
        <v>0.83199999999999996</v>
      </c>
      <c r="Y347" s="107">
        <v>1527</v>
      </c>
      <c r="Z347" s="106" t="str">
        <f t="shared" si="20"/>
        <v>S</v>
      </c>
      <c r="AA347" s="174"/>
      <c r="AB347" s="174"/>
      <c r="AC347" s="174"/>
      <c r="AD347" s="174"/>
      <c r="AE347" s="174"/>
      <c r="AF347" s="174"/>
      <c r="AG347" s="174"/>
      <c r="AH347" s="174"/>
      <c r="AI347" s="174"/>
      <c r="AJ347" s="174"/>
      <c r="AK347" s="174"/>
      <c r="AL347" s="174"/>
    </row>
    <row r="348" spans="1:38" s="107" customFormat="1">
      <c r="A348" s="97"/>
      <c r="B348" s="258" t="s">
        <v>1276</v>
      </c>
      <c r="C348" s="259">
        <v>1989</v>
      </c>
      <c r="D348" s="101"/>
      <c r="E348" s="103" t="s">
        <v>49</v>
      </c>
      <c r="F348" s="98"/>
      <c r="G348" s="98"/>
      <c r="H348" s="98"/>
      <c r="I348" s="98"/>
      <c r="J348" s="292" t="s">
        <v>1013</v>
      </c>
      <c r="K348" s="292" t="s">
        <v>1002</v>
      </c>
      <c r="L348" s="98"/>
      <c r="M348" s="98"/>
      <c r="N348" s="98"/>
      <c r="O348" s="107" t="s">
        <v>1247</v>
      </c>
      <c r="P348" s="98"/>
      <c r="Q348" s="98"/>
      <c r="R348" s="107">
        <v>0.83</v>
      </c>
      <c r="S348" s="98"/>
      <c r="T348" s="98"/>
      <c r="U348" s="98"/>
      <c r="V348" s="98"/>
      <c r="W348" s="98"/>
      <c r="X348" s="101">
        <f t="shared" si="19"/>
        <v>0.83</v>
      </c>
      <c r="Y348" s="107">
        <v>1522</v>
      </c>
      <c r="Z348" s="106" t="str">
        <f t="shared" si="20"/>
        <v>S</v>
      </c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4"/>
      <c r="AK348" s="174"/>
      <c r="AL348" s="174"/>
    </row>
    <row r="349" spans="1:38" s="107" customFormat="1">
      <c r="A349" s="97"/>
      <c r="B349" s="258" t="s">
        <v>1276</v>
      </c>
      <c r="C349" s="259">
        <v>1989</v>
      </c>
      <c r="D349" s="101"/>
      <c r="E349" s="103" t="s">
        <v>49</v>
      </c>
      <c r="F349" s="98"/>
      <c r="G349" s="98"/>
      <c r="H349" s="98"/>
      <c r="I349" s="98"/>
      <c r="J349" s="292" t="s">
        <v>1013</v>
      </c>
      <c r="K349" s="292" t="s">
        <v>1002</v>
      </c>
      <c r="L349" s="98"/>
      <c r="M349" s="98"/>
      <c r="N349" s="98"/>
      <c r="O349" s="107" t="s">
        <v>1253</v>
      </c>
      <c r="P349" s="98"/>
      <c r="Q349" s="98"/>
      <c r="R349" s="107">
        <v>0.82199999999999995</v>
      </c>
      <c r="S349" s="98"/>
      <c r="T349" s="98"/>
      <c r="U349" s="98"/>
      <c r="V349" s="98"/>
      <c r="W349" s="98"/>
      <c r="X349" s="101">
        <f t="shared" si="19"/>
        <v>0.82199999999999995</v>
      </c>
      <c r="Y349" s="107">
        <v>1508</v>
      </c>
      <c r="Z349" s="106" t="str">
        <f t="shared" si="20"/>
        <v>S</v>
      </c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4"/>
      <c r="AK349" s="174"/>
      <c r="AL349" s="174"/>
    </row>
    <row r="350" spans="1:38" s="107" customFormat="1">
      <c r="A350" s="97"/>
      <c r="B350" s="258" t="s">
        <v>1276</v>
      </c>
      <c r="C350" s="259">
        <v>1989</v>
      </c>
      <c r="D350" s="101"/>
      <c r="E350" s="103" t="s">
        <v>49</v>
      </c>
      <c r="F350" s="98"/>
      <c r="G350" s="98"/>
      <c r="H350" s="98"/>
      <c r="I350" s="98"/>
      <c r="J350" s="292" t="s">
        <v>1013</v>
      </c>
      <c r="K350" s="292" t="s">
        <v>1256</v>
      </c>
      <c r="L350" s="98"/>
      <c r="M350" s="98"/>
      <c r="N350" s="98"/>
      <c r="O350" s="107" t="s">
        <v>1272</v>
      </c>
      <c r="P350" s="98"/>
      <c r="Q350" s="98"/>
      <c r="R350" s="107">
        <v>0.82199999999999995</v>
      </c>
      <c r="S350" s="98"/>
      <c r="T350" s="98"/>
      <c r="U350" s="98"/>
      <c r="V350" s="98"/>
      <c r="W350" s="98"/>
      <c r="X350" s="101">
        <f t="shared" si="19"/>
        <v>0.82199999999999995</v>
      </c>
      <c r="Y350" s="107">
        <v>1508</v>
      </c>
      <c r="Z350" s="106" t="str">
        <f t="shared" si="20"/>
        <v>S</v>
      </c>
      <c r="AA350" s="174"/>
      <c r="AB350" s="174"/>
      <c r="AC350" s="174"/>
      <c r="AD350" s="174"/>
      <c r="AE350" s="174"/>
      <c r="AF350" s="174"/>
      <c r="AG350" s="174"/>
      <c r="AH350" s="174"/>
      <c r="AI350" s="174"/>
      <c r="AJ350" s="174"/>
      <c r="AK350" s="174"/>
      <c r="AL350" s="174"/>
    </row>
    <row r="351" spans="1:38" s="107" customFormat="1">
      <c r="A351" s="97"/>
      <c r="B351" s="258" t="s">
        <v>1276</v>
      </c>
      <c r="C351" s="259">
        <v>1989</v>
      </c>
      <c r="D351" s="101"/>
      <c r="E351" s="103" t="s">
        <v>49</v>
      </c>
      <c r="F351" s="98"/>
      <c r="G351" s="98"/>
      <c r="H351" s="98"/>
      <c r="I351" s="98"/>
      <c r="J351" s="292" t="s">
        <v>1013</v>
      </c>
      <c r="K351" s="292" t="s">
        <v>1002</v>
      </c>
      <c r="L351" s="98"/>
      <c r="M351" s="98"/>
      <c r="N351" s="98"/>
      <c r="O351" s="107" t="s">
        <v>1249</v>
      </c>
      <c r="P351" s="98"/>
      <c r="Q351" s="98"/>
      <c r="R351" s="107">
        <v>0.81599999999999995</v>
      </c>
      <c r="S351" s="98"/>
      <c r="T351" s="98"/>
      <c r="U351" s="98"/>
      <c r="V351" s="98"/>
      <c r="W351" s="98"/>
      <c r="X351" s="101">
        <f t="shared" si="19"/>
        <v>0.81599999999999995</v>
      </c>
      <c r="Y351" s="107">
        <v>1497</v>
      </c>
      <c r="Z351" s="106" t="str">
        <f t="shared" si="20"/>
        <v>S</v>
      </c>
      <c r="AA351" s="174"/>
      <c r="AB351" s="174"/>
      <c r="AC351" s="174"/>
      <c r="AD351" s="174"/>
      <c r="AE351" s="174"/>
      <c r="AF351" s="174"/>
      <c r="AG351" s="174"/>
      <c r="AH351" s="174"/>
      <c r="AI351" s="174"/>
      <c r="AJ351" s="174"/>
      <c r="AK351" s="174"/>
      <c r="AL351" s="174"/>
    </row>
    <row r="352" spans="1:38" s="107" customFormat="1">
      <c r="A352" s="97"/>
      <c r="B352" s="258" t="s">
        <v>1276</v>
      </c>
      <c r="C352" s="259">
        <v>1989</v>
      </c>
      <c r="D352" s="101"/>
      <c r="E352" s="103" t="s">
        <v>49</v>
      </c>
      <c r="F352" s="98"/>
      <c r="G352" s="98"/>
      <c r="H352" s="98"/>
      <c r="I352" s="98"/>
      <c r="J352" s="292" t="s">
        <v>1013</v>
      </c>
      <c r="K352" s="292" t="s">
        <v>1002</v>
      </c>
      <c r="L352" s="98"/>
      <c r="M352" s="98"/>
      <c r="N352" s="98"/>
      <c r="O352" s="107" t="s">
        <v>1240</v>
      </c>
      <c r="P352" s="98"/>
      <c r="Q352" s="98"/>
      <c r="R352" s="107">
        <v>0.81399999999999995</v>
      </c>
      <c r="S352" s="98"/>
      <c r="T352" s="98"/>
      <c r="U352" s="98"/>
      <c r="V352" s="98"/>
      <c r="W352" s="98"/>
      <c r="X352" s="101">
        <f t="shared" si="19"/>
        <v>0.81399999999999995</v>
      </c>
      <c r="Y352" s="107">
        <v>1494</v>
      </c>
      <c r="Z352" s="106" t="str">
        <f t="shared" si="20"/>
        <v>S</v>
      </c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4"/>
      <c r="AK352" s="174"/>
      <c r="AL352" s="174"/>
    </row>
    <row r="353" spans="1:38" s="107" customFormat="1">
      <c r="A353" s="97"/>
      <c r="B353" s="258" t="s">
        <v>1276</v>
      </c>
      <c r="C353" s="259">
        <v>1989</v>
      </c>
      <c r="D353" s="101"/>
      <c r="E353" s="103" t="s">
        <v>49</v>
      </c>
      <c r="F353" s="98"/>
      <c r="G353" s="98"/>
      <c r="H353" s="98"/>
      <c r="I353" s="98"/>
      <c r="J353" s="292" t="s">
        <v>1013</v>
      </c>
      <c r="K353" s="292" t="s">
        <v>1002</v>
      </c>
      <c r="L353" s="98"/>
      <c r="M353" s="98"/>
      <c r="N353" s="98"/>
      <c r="O353" s="107" t="s">
        <v>1248</v>
      </c>
      <c r="P353" s="98"/>
      <c r="Q353" s="98"/>
      <c r="R353" s="107">
        <v>0.81299999999999994</v>
      </c>
      <c r="S353" s="98"/>
      <c r="T353" s="98"/>
      <c r="U353" s="98"/>
      <c r="V353" s="98"/>
      <c r="W353" s="98"/>
      <c r="X353" s="101">
        <f t="shared" si="19"/>
        <v>0.81299999999999994</v>
      </c>
      <c r="Y353" s="107">
        <v>1492</v>
      </c>
      <c r="Z353" s="106" t="str">
        <f t="shared" si="20"/>
        <v>S</v>
      </c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4"/>
      <c r="AK353" s="174"/>
      <c r="AL353" s="174"/>
    </row>
    <row r="354" spans="1:38" s="107" customFormat="1">
      <c r="A354" s="174"/>
      <c r="B354" s="182" t="s">
        <v>968</v>
      </c>
      <c r="C354" s="132">
        <v>1996</v>
      </c>
      <c r="D354" s="174"/>
      <c r="E354" s="180" t="s">
        <v>172</v>
      </c>
      <c r="F354" s="174"/>
      <c r="G354" s="174"/>
      <c r="H354" s="101" t="s">
        <v>302</v>
      </c>
      <c r="I354" s="101" t="s">
        <v>1014</v>
      </c>
      <c r="J354" s="101" t="s">
        <v>1013</v>
      </c>
      <c r="K354" s="98" t="s">
        <v>1013</v>
      </c>
      <c r="L354" s="174"/>
      <c r="M354" s="101"/>
      <c r="N354" s="101"/>
      <c r="O354" s="182" t="s">
        <v>1009</v>
      </c>
      <c r="P354" s="174"/>
      <c r="Q354" s="174"/>
      <c r="R354" s="174"/>
      <c r="S354" s="174"/>
      <c r="T354" s="174"/>
      <c r="U354" s="174">
        <v>0.81</v>
      </c>
      <c r="V354" s="174"/>
      <c r="W354" s="174">
        <f>715*44/12/2</f>
        <v>1310.8333333333333</v>
      </c>
      <c r="X354" s="101">
        <f t="shared" si="19"/>
        <v>0.81</v>
      </c>
      <c r="Y354" s="230">
        <f>715*44/12/2</f>
        <v>1310.8333333333333</v>
      </c>
      <c r="Z354" s="106" t="str">
        <f t="shared" si="20"/>
        <v>S</v>
      </c>
      <c r="AA354" s="174"/>
      <c r="AB354" s="174"/>
      <c r="AC354" s="174"/>
      <c r="AD354" s="174"/>
      <c r="AE354" s="174"/>
      <c r="AF354" s="174"/>
      <c r="AG354" s="174"/>
      <c r="AH354" s="174"/>
      <c r="AI354" s="174"/>
      <c r="AJ354" s="174"/>
      <c r="AK354" s="174"/>
      <c r="AL354" s="174"/>
    </row>
    <row r="355" spans="1:38" s="107" customFormat="1">
      <c r="A355" s="97">
        <v>46</v>
      </c>
      <c r="B355" s="103" t="s">
        <v>45</v>
      </c>
      <c r="C355" s="103">
        <v>1984</v>
      </c>
      <c r="D355" s="103" t="s">
        <v>113</v>
      </c>
      <c r="E355" s="99" t="s">
        <v>49</v>
      </c>
      <c r="F355" s="98">
        <v>1983</v>
      </c>
      <c r="G355" s="98" t="s">
        <v>116</v>
      </c>
      <c r="H355" s="98" t="s">
        <v>95</v>
      </c>
      <c r="I355" s="98"/>
      <c r="J355" s="98" t="s">
        <v>1013</v>
      </c>
      <c r="K355" s="98" t="s">
        <v>1134</v>
      </c>
      <c r="L355" s="98" t="s">
        <v>117</v>
      </c>
      <c r="M355" s="98"/>
      <c r="N355" s="98"/>
      <c r="O355" s="98" t="s">
        <v>132</v>
      </c>
      <c r="P355" s="98"/>
      <c r="Q355" s="98"/>
      <c r="R355" s="98">
        <v>0.81</v>
      </c>
      <c r="S355" s="98"/>
      <c r="T355" s="98"/>
      <c r="U355" s="98"/>
      <c r="V355" s="98"/>
      <c r="W355" s="98"/>
      <c r="X355" s="101">
        <f t="shared" si="19"/>
        <v>0.81</v>
      </c>
      <c r="Y355" s="111">
        <v>1483</v>
      </c>
      <c r="Z355" s="106" t="str">
        <f t="shared" si="20"/>
        <v>S</v>
      </c>
      <c r="AA355" s="174"/>
      <c r="AB355" s="174"/>
      <c r="AC355" s="174"/>
      <c r="AD355" s="174"/>
      <c r="AE355" s="174"/>
      <c r="AF355" s="174"/>
      <c r="AG355" s="174"/>
      <c r="AH355" s="174"/>
      <c r="AI355" s="174"/>
      <c r="AJ355" s="174"/>
      <c r="AK355" s="174"/>
      <c r="AL355" s="174"/>
    </row>
    <row r="356" spans="1:38" s="107" customFormat="1">
      <c r="A356" s="97"/>
      <c r="B356" s="258" t="s">
        <v>1276</v>
      </c>
      <c r="C356" s="259">
        <v>1989</v>
      </c>
      <c r="D356" s="101"/>
      <c r="E356" s="103" t="s">
        <v>49</v>
      </c>
      <c r="F356" s="98"/>
      <c r="G356" s="98"/>
      <c r="H356" s="98"/>
      <c r="I356" s="98"/>
      <c r="J356" s="292" t="s">
        <v>1013</v>
      </c>
      <c r="K356" s="292" t="s">
        <v>1002</v>
      </c>
      <c r="L356" s="98"/>
      <c r="M356" s="98"/>
      <c r="N356" s="98"/>
      <c r="O356" s="107" t="s">
        <v>1251</v>
      </c>
      <c r="P356" s="98"/>
      <c r="Q356" s="98"/>
      <c r="R356" s="107">
        <v>0.80500000000000005</v>
      </c>
      <c r="S356" s="98"/>
      <c r="T356" s="98"/>
      <c r="U356" s="98"/>
      <c r="V356" s="98"/>
      <c r="W356" s="98"/>
      <c r="X356" s="101">
        <f t="shared" si="19"/>
        <v>0.80500000000000005</v>
      </c>
      <c r="Y356" s="107">
        <v>1478</v>
      </c>
      <c r="Z356" s="106" t="str">
        <f t="shared" si="20"/>
        <v>S</v>
      </c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4"/>
      <c r="AK356" s="174"/>
      <c r="AL356" s="174"/>
    </row>
    <row r="357" spans="1:38" s="107" customFormat="1">
      <c r="A357" s="97"/>
      <c r="B357" s="258" t="s">
        <v>1276</v>
      </c>
      <c r="C357" s="259">
        <v>1989</v>
      </c>
      <c r="D357" s="101"/>
      <c r="E357" s="103" t="s">
        <v>49</v>
      </c>
      <c r="F357" s="98"/>
      <c r="G357" s="98"/>
      <c r="H357" s="98"/>
      <c r="I357" s="98"/>
      <c r="J357" s="292" t="s">
        <v>1013</v>
      </c>
      <c r="K357" s="292" t="s">
        <v>1002</v>
      </c>
      <c r="L357" s="98"/>
      <c r="M357" s="98"/>
      <c r="N357" s="98"/>
      <c r="O357" s="107" t="s">
        <v>1236</v>
      </c>
      <c r="P357" s="98"/>
      <c r="Q357" s="98"/>
      <c r="R357" s="107">
        <v>0.8</v>
      </c>
      <c r="S357" s="98"/>
      <c r="T357" s="98"/>
      <c r="U357" s="98"/>
      <c r="V357" s="98"/>
      <c r="W357" s="98"/>
      <c r="X357" s="101">
        <f t="shared" si="19"/>
        <v>0.8</v>
      </c>
      <c r="Y357" s="107">
        <v>1469</v>
      </c>
      <c r="Z357" s="106" t="str">
        <f t="shared" si="20"/>
        <v>S</v>
      </c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4"/>
      <c r="AK357" s="174"/>
      <c r="AL357" s="174"/>
    </row>
    <row r="358" spans="1:38" s="107" customFormat="1">
      <c r="A358" s="97">
        <v>46</v>
      </c>
      <c r="B358" s="103" t="s">
        <v>45</v>
      </c>
      <c r="C358" s="103">
        <v>1984</v>
      </c>
      <c r="D358" s="103" t="s">
        <v>113</v>
      </c>
      <c r="E358" s="99" t="s">
        <v>49</v>
      </c>
      <c r="F358" s="98">
        <v>1983</v>
      </c>
      <c r="G358" s="98" t="s">
        <v>116</v>
      </c>
      <c r="H358" s="98" t="s">
        <v>95</v>
      </c>
      <c r="I358" s="98"/>
      <c r="J358" s="98" t="s">
        <v>1013</v>
      </c>
      <c r="K358" s="98" t="s">
        <v>1134</v>
      </c>
      <c r="L358" s="98" t="s">
        <v>117</v>
      </c>
      <c r="M358" s="98"/>
      <c r="N358" s="98"/>
      <c r="O358" s="98" t="s">
        <v>130</v>
      </c>
      <c r="P358" s="98"/>
      <c r="Q358" s="98"/>
      <c r="R358" s="98">
        <v>0.8</v>
      </c>
      <c r="S358" s="98"/>
      <c r="T358" s="98"/>
      <c r="U358" s="98"/>
      <c r="V358" s="98"/>
      <c r="W358" s="98"/>
      <c r="X358" s="101">
        <f t="shared" si="19"/>
        <v>0.8</v>
      </c>
      <c r="Y358" s="111">
        <v>1458</v>
      </c>
      <c r="Z358" s="106" t="str">
        <f t="shared" si="20"/>
        <v>S</v>
      </c>
      <c r="AA358" s="174"/>
      <c r="AB358" s="174"/>
      <c r="AC358" s="174"/>
      <c r="AD358" s="174"/>
      <c r="AE358" s="174"/>
      <c r="AF358" s="174"/>
      <c r="AG358" s="174"/>
      <c r="AH358" s="174"/>
      <c r="AI358" s="174"/>
      <c r="AJ358" s="174"/>
      <c r="AK358" s="174"/>
      <c r="AL358" s="174"/>
    </row>
    <row r="359" spans="1:38" s="107" customFormat="1">
      <c r="A359" s="97">
        <v>46</v>
      </c>
      <c r="B359" s="103" t="s">
        <v>45</v>
      </c>
      <c r="C359" s="103">
        <v>1984</v>
      </c>
      <c r="D359" s="103" t="s">
        <v>113</v>
      </c>
      <c r="E359" s="99" t="s">
        <v>49</v>
      </c>
      <c r="F359" s="98">
        <v>1983</v>
      </c>
      <c r="G359" s="98" t="s">
        <v>116</v>
      </c>
      <c r="H359" s="98" t="s">
        <v>95</v>
      </c>
      <c r="I359" s="98"/>
      <c r="J359" s="98" t="s">
        <v>1013</v>
      </c>
      <c r="K359" s="98" t="s">
        <v>1134</v>
      </c>
      <c r="L359" s="98" t="s">
        <v>117</v>
      </c>
      <c r="M359" s="98"/>
      <c r="N359" s="98"/>
      <c r="O359" s="98" t="s">
        <v>120</v>
      </c>
      <c r="P359" s="98"/>
      <c r="Q359" s="98"/>
      <c r="R359" s="98">
        <v>0.8</v>
      </c>
      <c r="S359" s="98"/>
      <c r="T359" s="98"/>
      <c r="U359" s="98"/>
      <c r="V359" s="98"/>
      <c r="W359" s="98"/>
      <c r="X359" s="101">
        <f t="shared" si="19"/>
        <v>0.8</v>
      </c>
      <c r="Y359" s="111">
        <v>1468</v>
      </c>
      <c r="Z359" s="106" t="str">
        <f t="shared" si="20"/>
        <v>S</v>
      </c>
      <c r="AA359" s="174"/>
      <c r="AB359" s="174"/>
      <c r="AC359" s="174"/>
      <c r="AD359" s="174"/>
      <c r="AE359" s="174"/>
      <c r="AF359" s="174"/>
      <c r="AG359" s="174"/>
      <c r="AH359" s="174"/>
      <c r="AI359" s="174"/>
      <c r="AJ359" s="174"/>
      <c r="AK359" s="174"/>
      <c r="AL359" s="174"/>
    </row>
    <row r="360" spans="1:38" s="107" customFormat="1">
      <c r="A360" s="97"/>
      <c r="B360" s="258" t="s">
        <v>1276</v>
      </c>
      <c r="C360" s="259">
        <v>1989</v>
      </c>
      <c r="D360" s="101"/>
      <c r="E360" s="103" t="s">
        <v>49</v>
      </c>
      <c r="F360" s="98"/>
      <c r="G360" s="98"/>
      <c r="H360" s="98"/>
      <c r="I360" s="98"/>
      <c r="J360" s="292" t="s">
        <v>1013</v>
      </c>
      <c r="K360" s="292" t="s">
        <v>1256</v>
      </c>
      <c r="L360" s="98"/>
      <c r="M360" s="98"/>
      <c r="N360" s="98"/>
      <c r="O360" s="107" t="s">
        <v>1270</v>
      </c>
      <c r="P360" s="98"/>
      <c r="Q360" s="98"/>
      <c r="R360" s="107">
        <v>0.79600000000000004</v>
      </c>
      <c r="S360" s="98"/>
      <c r="T360" s="98"/>
      <c r="U360" s="98"/>
      <c r="V360" s="98"/>
      <c r="W360" s="98"/>
      <c r="X360" s="101">
        <f t="shared" si="19"/>
        <v>0.79600000000000004</v>
      </c>
      <c r="Y360" s="107">
        <v>1460</v>
      </c>
      <c r="Z360" s="106" t="str">
        <f t="shared" si="20"/>
        <v>S</v>
      </c>
      <c r="AA360" s="174"/>
      <c r="AB360" s="174"/>
      <c r="AC360" s="174"/>
      <c r="AD360" s="174"/>
      <c r="AE360" s="174"/>
      <c r="AF360" s="174"/>
      <c r="AG360" s="174"/>
      <c r="AH360" s="174"/>
      <c r="AI360" s="174"/>
      <c r="AJ360" s="174"/>
      <c r="AK360" s="174"/>
      <c r="AL360" s="174"/>
    </row>
    <row r="361" spans="1:38" s="107" customFormat="1">
      <c r="A361" s="97"/>
      <c r="B361" s="258" t="s">
        <v>1276</v>
      </c>
      <c r="C361" s="259">
        <v>1989</v>
      </c>
      <c r="D361" s="101"/>
      <c r="E361" s="103" t="s">
        <v>49</v>
      </c>
      <c r="F361" s="98"/>
      <c r="G361" s="98"/>
      <c r="H361" s="98"/>
      <c r="I361" s="98"/>
      <c r="J361" s="292" t="s">
        <v>1013</v>
      </c>
      <c r="K361" s="292" t="s">
        <v>1002</v>
      </c>
      <c r="L361" s="98"/>
      <c r="M361" s="98"/>
      <c r="N361" s="98"/>
      <c r="O361" s="107" t="s">
        <v>1241</v>
      </c>
      <c r="P361" s="98"/>
      <c r="Q361" s="98"/>
      <c r="R361" s="107">
        <v>0.79400000000000004</v>
      </c>
      <c r="S361" s="98"/>
      <c r="T361" s="98"/>
      <c r="U361" s="98"/>
      <c r="V361" s="98"/>
      <c r="W361" s="98"/>
      <c r="X361" s="101">
        <f t="shared" si="19"/>
        <v>0.79400000000000004</v>
      </c>
      <c r="Y361" s="107">
        <v>1456</v>
      </c>
      <c r="Z361" s="106" t="str">
        <f t="shared" si="20"/>
        <v>S</v>
      </c>
      <c r="AA361" s="174"/>
      <c r="AB361" s="174"/>
      <c r="AC361" s="174"/>
      <c r="AD361" s="174"/>
      <c r="AE361" s="174"/>
      <c r="AF361" s="174"/>
      <c r="AG361" s="174"/>
      <c r="AH361" s="174"/>
      <c r="AI361" s="174"/>
      <c r="AJ361" s="174"/>
      <c r="AK361" s="174"/>
      <c r="AL361" s="174"/>
    </row>
    <row r="362" spans="1:38" s="107" customFormat="1">
      <c r="A362" s="97">
        <v>46</v>
      </c>
      <c r="B362" s="103" t="s">
        <v>45</v>
      </c>
      <c r="C362" s="103">
        <v>1984</v>
      </c>
      <c r="D362" s="103" t="s">
        <v>113</v>
      </c>
      <c r="E362" s="99" t="s">
        <v>49</v>
      </c>
      <c r="F362" s="98">
        <v>1983</v>
      </c>
      <c r="G362" s="98" t="s">
        <v>116</v>
      </c>
      <c r="H362" s="98" t="s">
        <v>95</v>
      </c>
      <c r="I362" s="98"/>
      <c r="J362" s="98" t="s">
        <v>1013</v>
      </c>
      <c r="K362" s="98" t="s">
        <v>1134</v>
      </c>
      <c r="L362" s="98" t="s">
        <v>117</v>
      </c>
      <c r="M362" s="98"/>
      <c r="N362" s="98"/>
      <c r="O362" s="98" t="s">
        <v>122</v>
      </c>
      <c r="P362" s="98"/>
      <c r="Q362" s="98"/>
      <c r="R362" s="98">
        <v>0.79</v>
      </c>
      <c r="S362" s="98"/>
      <c r="T362" s="98"/>
      <c r="U362" s="98"/>
      <c r="V362" s="98"/>
      <c r="W362" s="98"/>
      <c r="X362" s="101">
        <f t="shared" si="19"/>
        <v>0.79</v>
      </c>
      <c r="Y362" s="111">
        <v>1455</v>
      </c>
      <c r="Z362" s="106" t="str">
        <f t="shared" si="20"/>
        <v>S</v>
      </c>
      <c r="AA362" s="174"/>
      <c r="AB362" s="174"/>
      <c r="AC362" s="174"/>
      <c r="AD362" s="174"/>
      <c r="AE362" s="174"/>
      <c r="AF362" s="174"/>
      <c r="AG362" s="174"/>
      <c r="AH362" s="174"/>
      <c r="AI362" s="174"/>
      <c r="AJ362" s="174"/>
      <c r="AK362" s="174"/>
      <c r="AL362" s="174"/>
    </row>
    <row r="363" spans="1:38" s="107" customFormat="1">
      <c r="A363" s="97"/>
      <c r="B363" s="258" t="s">
        <v>1276</v>
      </c>
      <c r="C363" s="259">
        <v>1989</v>
      </c>
      <c r="D363" s="101"/>
      <c r="E363" s="103" t="s">
        <v>49</v>
      </c>
      <c r="F363" s="98"/>
      <c r="G363" s="98"/>
      <c r="H363" s="98"/>
      <c r="I363" s="98"/>
      <c r="J363" s="292" t="s">
        <v>1013</v>
      </c>
      <c r="K363" s="292" t="s">
        <v>1002</v>
      </c>
      <c r="L363" s="98"/>
      <c r="M363" s="98"/>
      <c r="N363" s="98"/>
      <c r="O363" s="107" t="s">
        <v>1243</v>
      </c>
      <c r="P363" s="98"/>
      <c r="Q363" s="98"/>
      <c r="R363" s="107">
        <v>0.78900000000000003</v>
      </c>
      <c r="S363" s="98"/>
      <c r="T363" s="98"/>
      <c r="U363" s="98"/>
      <c r="V363" s="98"/>
      <c r="W363" s="98"/>
      <c r="X363" s="101">
        <f t="shared" si="19"/>
        <v>0.78900000000000003</v>
      </c>
      <c r="Y363" s="107">
        <v>1448</v>
      </c>
      <c r="Z363" s="106" t="str">
        <f t="shared" si="20"/>
        <v>S</v>
      </c>
      <c r="AA363" s="174"/>
      <c r="AB363" s="174"/>
      <c r="AC363" s="174"/>
      <c r="AD363" s="174"/>
      <c r="AE363" s="174"/>
      <c r="AF363" s="174"/>
      <c r="AG363" s="174"/>
      <c r="AH363" s="174"/>
      <c r="AI363" s="174"/>
      <c r="AJ363" s="174"/>
      <c r="AK363" s="174"/>
      <c r="AL363" s="174"/>
    </row>
    <row r="364" spans="1:38" s="107" customFormat="1">
      <c r="A364" s="97"/>
      <c r="B364" s="258" t="s">
        <v>1276</v>
      </c>
      <c r="C364" s="259">
        <v>1989</v>
      </c>
      <c r="D364" s="101"/>
      <c r="E364" s="103" t="s">
        <v>49</v>
      </c>
      <c r="F364" s="98"/>
      <c r="G364" s="98"/>
      <c r="H364" s="98"/>
      <c r="I364" s="98"/>
      <c r="J364" s="292" t="s">
        <v>1013</v>
      </c>
      <c r="K364" s="292" t="s">
        <v>1002</v>
      </c>
      <c r="L364" s="98"/>
      <c r="M364" s="98"/>
      <c r="N364" s="98"/>
      <c r="O364" s="107" t="s">
        <v>1238</v>
      </c>
      <c r="P364" s="98"/>
      <c r="Q364" s="98"/>
      <c r="R364" s="107">
        <v>0.78400000000000003</v>
      </c>
      <c r="S364" s="98"/>
      <c r="T364" s="98"/>
      <c r="U364" s="98"/>
      <c r="V364" s="98"/>
      <c r="W364" s="98"/>
      <c r="X364" s="101">
        <f t="shared" si="19"/>
        <v>0.78400000000000003</v>
      </c>
      <c r="Y364" s="107">
        <v>1439</v>
      </c>
      <c r="Z364" s="106" t="str">
        <f t="shared" si="20"/>
        <v>S</v>
      </c>
      <c r="AA364" s="174"/>
      <c r="AB364" s="174"/>
      <c r="AC364" s="174"/>
      <c r="AD364" s="174"/>
      <c r="AE364" s="174"/>
      <c r="AF364" s="174"/>
      <c r="AG364" s="174"/>
      <c r="AH364" s="174"/>
      <c r="AI364" s="174"/>
      <c r="AJ364" s="174"/>
      <c r="AK364" s="174"/>
      <c r="AL364" s="174"/>
    </row>
    <row r="365" spans="1:38" s="107" customFormat="1">
      <c r="A365" s="97">
        <v>35</v>
      </c>
      <c r="B365" s="103" t="s">
        <v>45</v>
      </c>
      <c r="C365" s="103">
        <v>1982</v>
      </c>
      <c r="D365" s="103" t="s">
        <v>46</v>
      </c>
      <c r="E365" s="99" t="s">
        <v>49</v>
      </c>
      <c r="F365" s="98" t="s">
        <v>50</v>
      </c>
      <c r="G365" s="98" t="s">
        <v>51</v>
      </c>
      <c r="H365" s="98" t="s">
        <v>23</v>
      </c>
      <c r="I365" s="98"/>
      <c r="J365" s="98" t="s">
        <v>1013</v>
      </c>
      <c r="K365" s="98" t="s">
        <v>1134</v>
      </c>
      <c r="L365" s="98" t="s">
        <v>52</v>
      </c>
      <c r="M365" s="98"/>
      <c r="N365" s="98"/>
      <c r="O365" s="98" t="s">
        <v>70</v>
      </c>
      <c r="P365" s="98"/>
      <c r="Q365" s="98">
        <v>0.78</v>
      </c>
      <c r="R365" s="98">
        <f>+Q365</f>
        <v>0.78</v>
      </c>
      <c r="S365" s="98"/>
      <c r="T365" s="98"/>
      <c r="U365" s="98"/>
      <c r="V365" s="98"/>
      <c r="W365" s="98">
        <v>1421</v>
      </c>
      <c r="X365" s="101">
        <f t="shared" si="19"/>
        <v>0.78</v>
      </c>
      <c r="Y365" s="111">
        <f>+W365</f>
        <v>1421</v>
      </c>
      <c r="Z365" s="106" t="str">
        <f t="shared" si="20"/>
        <v>S</v>
      </c>
      <c r="AA365" s="174"/>
      <c r="AB365" s="174"/>
      <c r="AC365" s="174"/>
      <c r="AD365" s="174"/>
      <c r="AE365" s="174"/>
      <c r="AF365" s="174"/>
      <c r="AG365" s="174"/>
      <c r="AH365" s="174"/>
      <c r="AI365" s="174"/>
      <c r="AJ365" s="174"/>
      <c r="AK365" s="174"/>
      <c r="AL365" s="174"/>
    </row>
    <row r="366" spans="1:38" s="107" customFormat="1">
      <c r="A366" s="97">
        <v>35</v>
      </c>
      <c r="B366" s="103" t="s">
        <v>45</v>
      </c>
      <c r="C366" s="103">
        <v>1982</v>
      </c>
      <c r="D366" s="103" t="s">
        <v>46</v>
      </c>
      <c r="E366" s="99" t="s">
        <v>49</v>
      </c>
      <c r="F366" s="98" t="s">
        <v>50</v>
      </c>
      <c r="G366" s="98" t="s">
        <v>51</v>
      </c>
      <c r="H366" s="98" t="s">
        <v>23</v>
      </c>
      <c r="I366" s="98"/>
      <c r="J366" s="98" t="s">
        <v>1013</v>
      </c>
      <c r="K366" s="98" t="s">
        <v>1134</v>
      </c>
      <c r="L366" s="98" t="s">
        <v>52</v>
      </c>
      <c r="M366" s="98"/>
      <c r="N366" s="98"/>
      <c r="O366" s="98" t="s">
        <v>69</v>
      </c>
      <c r="P366" s="98"/>
      <c r="Q366" s="98">
        <v>0.78</v>
      </c>
      <c r="R366" s="98">
        <f>+Q366</f>
        <v>0.78</v>
      </c>
      <c r="S366" s="98"/>
      <c r="T366" s="98"/>
      <c r="U366" s="98"/>
      <c r="V366" s="98"/>
      <c r="W366" s="98">
        <v>1423</v>
      </c>
      <c r="X366" s="101">
        <f t="shared" si="19"/>
        <v>0.78</v>
      </c>
      <c r="Y366" s="111">
        <f>+W366</f>
        <v>1423</v>
      </c>
      <c r="Z366" s="106" t="str">
        <f t="shared" si="20"/>
        <v>S</v>
      </c>
      <c r="AA366" s="174"/>
      <c r="AB366" s="174"/>
      <c r="AC366" s="174"/>
      <c r="AD366" s="174"/>
      <c r="AE366" s="174"/>
      <c r="AF366" s="174"/>
      <c r="AG366" s="174"/>
      <c r="AH366" s="174"/>
      <c r="AI366" s="174"/>
      <c r="AJ366" s="174"/>
      <c r="AK366" s="174"/>
      <c r="AL366" s="174"/>
    </row>
    <row r="367" spans="1:38" s="107" customFormat="1">
      <c r="A367" s="97"/>
      <c r="B367" s="258" t="s">
        <v>1276</v>
      </c>
      <c r="C367" s="259">
        <v>1989</v>
      </c>
      <c r="D367" s="101"/>
      <c r="E367" s="103" t="s">
        <v>49</v>
      </c>
      <c r="F367" s="98"/>
      <c r="G367" s="98"/>
      <c r="H367" s="98"/>
      <c r="I367" s="98"/>
      <c r="J367" s="292" t="s">
        <v>1013</v>
      </c>
      <c r="K367" s="292" t="s">
        <v>1002</v>
      </c>
      <c r="L367" s="98"/>
      <c r="M367" s="98"/>
      <c r="N367" s="98"/>
      <c r="O367" s="107" t="s">
        <v>1244</v>
      </c>
      <c r="P367" s="98"/>
      <c r="Q367" s="98"/>
      <c r="R367" s="107">
        <v>0.77500000000000002</v>
      </c>
      <c r="S367" s="98"/>
      <c r="T367" s="98"/>
      <c r="U367" s="98"/>
      <c r="V367" s="98"/>
      <c r="W367" s="98"/>
      <c r="X367" s="101">
        <f t="shared" si="19"/>
        <v>0.77500000000000002</v>
      </c>
      <c r="Y367" s="107">
        <v>1422</v>
      </c>
      <c r="Z367" s="106" t="str">
        <f t="shared" ref="Z367:Z383" si="21">IF(X367&lt;&gt;"",IF(X367&lt;0.9,"S","F"),"")</f>
        <v>S</v>
      </c>
      <c r="AA367" s="174"/>
      <c r="AB367" s="174"/>
      <c r="AC367" s="174"/>
      <c r="AD367" s="174"/>
      <c r="AE367" s="174"/>
      <c r="AF367" s="174"/>
      <c r="AG367" s="174"/>
      <c r="AH367" s="174"/>
      <c r="AI367" s="174"/>
      <c r="AJ367" s="174"/>
      <c r="AK367" s="174"/>
      <c r="AL367" s="174"/>
    </row>
    <row r="368" spans="1:38" s="107" customFormat="1">
      <c r="A368" s="97"/>
      <c r="B368" s="258" t="s">
        <v>1276</v>
      </c>
      <c r="C368" s="259">
        <v>1989</v>
      </c>
      <c r="D368" s="101"/>
      <c r="E368" s="103" t="s">
        <v>49</v>
      </c>
      <c r="F368" s="98"/>
      <c r="G368" s="98"/>
      <c r="H368" s="98"/>
      <c r="I368" s="98"/>
      <c r="J368" s="292" t="s">
        <v>1013</v>
      </c>
      <c r="K368" s="292" t="s">
        <v>1002</v>
      </c>
      <c r="L368" s="98"/>
      <c r="M368" s="98"/>
      <c r="N368" s="98"/>
      <c r="O368" s="107" t="s">
        <v>1242</v>
      </c>
      <c r="P368" s="98"/>
      <c r="Q368" s="98"/>
      <c r="R368" s="107">
        <v>0.77500000000000002</v>
      </c>
      <c r="S368" s="98"/>
      <c r="T368" s="98"/>
      <c r="U368" s="98"/>
      <c r="V368" s="98"/>
      <c r="W368" s="98"/>
      <c r="X368" s="101">
        <f t="shared" si="19"/>
        <v>0.77500000000000002</v>
      </c>
      <c r="Y368" s="107">
        <v>1423</v>
      </c>
      <c r="Z368" s="106" t="str">
        <f t="shared" si="21"/>
        <v>S</v>
      </c>
      <c r="AA368" s="174"/>
      <c r="AB368" s="174"/>
      <c r="AC368" s="174"/>
      <c r="AD368" s="174"/>
      <c r="AE368" s="174"/>
      <c r="AF368" s="174"/>
      <c r="AG368" s="174"/>
      <c r="AH368" s="174"/>
      <c r="AI368" s="174"/>
      <c r="AJ368" s="174"/>
      <c r="AK368" s="174"/>
      <c r="AL368" s="174"/>
    </row>
    <row r="369" spans="1:38" s="107" customFormat="1">
      <c r="A369" s="97"/>
      <c r="B369" s="258" t="s">
        <v>1276</v>
      </c>
      <c r="C369" s="259">
        <v>1989</v>
      </c>
      <c r="D369" s="101"/>
      <c r="E369" s="103" t="s">
        <v>49</v>
      </c>
      <c r="F369" s="98"/>
      <c r="G369" s="98"/>
      <c r="H369" s="98"/>
      <c r="I369" s="98"/>
      <c r="J369" s="292" t="s">
        <v>1013</v>
      </c>
      <c r="K369" s="292" t="s">
        <v>1002</v>
      </c>
      <c r="L369" s="98"/>
      <c r="M369" s="98"/>
      <c r="N369" s="98"/>
      <c r="O369" s="107" t="s">
        <v>1237</v>
      </c>
      <c r="P369" s="98"/>
      <c r="Q369" s="98"/>
      <c r="R369" s="107">
        <v>0.77</v>
      </c>
      <c r="S369" s="98"/>
      <c r="T369" s="98"/>
      <c r="U369" s="98"/>
      <c r="V369" s="98"/>
      <c r="W369" s="98"/>
      <c r="X369" s="101">
        <f t="shared" si="19"/>
        <v>0.77</v>
      </c>
      <c r="Y369" s="107">
        <v>1413</v>
      </c>
      <c r="Z369" s="106" t="str">
        <f t="shared" si="21"/>
        <v>S</v>
      </c>
      <c r="AA369" s="174"/>
      <c r="AB369" s="174"/>
      <c r="AC369" s="174"/>
      <c r="AD369" s="174"/>
      <c r="AE369" s="174"/>
      <c r="AF369" s="174"/>
      <c r="AG369" s="174"/>
      <c r="AH369" s="174"/>
      <c r="AI369" s="174"/>
      <c r="AJ369" s="174"/>
      <c r="AK369" s="174"/>
      <c r="AL369" s="174"/>
    </row>
    <row r="370" spans="1:38" s="107" customFormat="1">
      <c r="A370" s="97">
        <v>46</v>
      </c>
      <c r="B370" s="103" t="s">
        <v>45</v>
      </c>
      <c r="C370" s="103">
        <v>1984</v>
      </c>
      <c r="D370" s="103" t="s">
        <v>113</v>
      </c>
      <c r="E370" s="99" t="s">
        <v>49</v>
      </c>
      <c r="F370" s="98">
        <v>1983</v>
      </c>
      <c r="G370" s="98" t="s">
        <v>116</v>
      </c>
      <c r="H370" s="98" t="s">
        <v>95</v>
      </c>
      <c r="I370" s="98"/>
      <c r="J370" s="98" t="s">
        <v>1013</v>
      </c>
      <c r="K370" s="98" t="s">
        <v>1134</v>
      </c>
      <c r="L370" s="98" t="s">
        <v>117</v>
      </c>
      <c r="M370" s="98"/>
      <c r="N370" s="98"/>
      <c r="O370" s="98" t="s">
        <v>129</v>
      </c>
      <c r="P370" s="98"/>
      <c r="Q370" s="98"/>
      <c r="R370" s="98">
        <v>0.77</v>
      </c>
      <c r="S370" s="98"/>
      <c r="T370" s="98"/>
      <c r="U370" s="98"/>
      <c r="V370" s="98"/>
      <c r="W370" s="98"/>
      <c r="X370" s="101">
        <f t="shared" si="19"/>
        <v>0.77</v>
      </c>
      <c r="Y370" s="111">
        <v>1403</v>
      </c>
      <c r="Z370" s="106" t="str">
        <f t="shared" si="21"/>
        <v>S</v>
      </c>
      <c r="AA370" s="174"/>
      <c r="AB370" s="174"/>
      <c r="AC370" s="174"/>
      <c r="AD370" s="174"/>
      <c r="AE370" s="174"/>
      <c r="AF370" s="174"/>
      <c r="AG370" s="174"/>
      <c r="AH370" s="174"/>
      <c r="AI370" s="174"/>
      <c r="AJ370" s="174"/>
      <c r="AK370" s="174"/>
      <c r="AL370" s="174"/>
    </row>
    <row r="371" spans="1:38" s="107" customFormat="1">
      <c r="A371" s="97">
        <v>46</v>
      </c>
      <c r="B371" s="103" t="s">
        <v>45</v>
      </c>
      <c r="C371" s="103">
        <v>1984</v>
      </c>
      <c r="D371" s="103" t="s">
        <v>113</v>
      </c>
      <c r="E371" s="99" t="s">
        <v>49</v>
      </c>
      <c r="F371" s="98">
        <v>1983</v>
      </c>
      <c r="G371" s="98" t="s">
        <v>116</v>
      </c>
      <c r="H371" s="98" t="s">
        <v>95</v>
      </c>
      <c r="I371" s="98"/>
      <c r="J371" s="98" t="s">
        <v>1013</v>
      </c>
      <c r="K371" s="98" t="s">
        <v>1134</v>
      </c>
      <c r="L371" s="98" t="s">
        <v>117</v>
      </c>
      <c r="M371" s="98"/>
      <c r="N371" s="98"/>
      <c r="O371" s="98" t="s">
        <v>125</v>
      </c>
      <c r="P371" s="98"/>
      <c r="Q371" s="98"/>
      <c r="R371" s="98">
        <v>0.77</v>
      </c>
      <c r="S371" s="98"/>
      <c r="T371" s="98"/>
      <c r="U371" s="98"/>
      <c r="V371" s="98"/>
      <c r="W371" s="98"/>
      <c r="X371" s="101">
        <f t="shared" si="19"/>
        <v>0.77</v>
      </c>
      <c r="Y371" s="111">
        <v>1413</v>
      </c>
      <c r="Z371" s="106" t="str">
        <f t="shared" si="21"/>
        <v>S</v>
      </c>
      <c r="AA371" s="174"/>
      <c r="AB371" s="174"/>
      <c r="AC371" s="174"/>
      <c r="AD371" s="174"/>
      <c r="AE371" s="174"/>
      <c r="AF371" s="174"/>
      <c r="AG371" s="174"/>
      <c r="AH371" s="174"/>
      <c r="AI371" s="174"/>
      <c r="AJ371" s="174"/>
      <c r="AK371" s="174"/>
      <c r="AL371" s="174"/>
    </row>
    <row r="372" spans="1:38" s="107" customFormat="1">
      <c r="A372" s="97">
        <v>46</v>
      </c>
      <c r="B372" s="103" t="s">
        <v>45</v>
      </c>
      <c r="C372" s="103">
        <v>1984</v>
      </c>
      <c r="D372" s="103" t="s">
        <v>113</v>
      </c>
      <c r="E372" s="99" t="s">
        <v>49</v>
      </c>
      <c r="F372" s="98">
        <v>1983</v>
      </c>
      <c r="G372" s="98" t="s">
        <v>116</v>
      </c>
      <c r="H372" s="98" t="s">
        <v>95</v>
      </c>
      <c r="I372" s="98"/>
      <c r="J372" s="98" t="s">
        <v>1013</v>
      </c>
      <c r="K372" s="98" t="s">
        <v>1134</v>
      </c>
      <c r="L372" s="98" t="s">
        <v>117</v>
      </c>
      <c r="M372" s="98"/>
      <c r="N372" s="98"/>
      <c r="O372" s="98" t="s">
        <v>124</v>
      </c>
      <c r="P372" s="98"/>
      <c r="Q372" s="98"/>
      <c r="R372" s="98">
        <v>0.76</v>
      </c>
      <c r="S372" s="98"/>
      <c r="T372" s="98"/>
      <c r="U372" s="98"/>
      <c r="V372" s="98"/>
      <c r="W372" s="98"/>
      <c r="X372" s="101">
        <f t="shared" si="19"/>
        <v>0.76</v>
      </c>
      <c r="Y372" s="111">
        <v>1427</v>
      </c>
      <c r="Z372" s="106" t="str">
        <f t="shared" si="21"/>
        <v>S</v>
      </c>
      <c r="AA372" s="174"/>
      <c r="AB372" s="174"/>
      <c r="AC372" s="174"/>
      <c r="AD372" s="174"/>
      <c r="AE372" s="174"/>
      <c r="AF372" s="174"/>
      <c r="AG372" s="174"/>
      <c r="AH372" s="174"/>
      <c r="AI372" s="174"/>
      <c r="AJ372" s="174"/>
      <c r="AK372" s="174"/>
      <c r="AL372" s="174"/>
    </row>
    <row r="373" spans="1:38" s="107" customFormat="1">
      <c r="A373" s="97"/>
      <c r="B373" s="258" t="s">
        <v>1276</v>
      </c>
      <c r="C373" s="259">
        <v>1989</v>
      </c>
      <c r="D373" s="101"/>
      <c r="E373" s="103" t="s">
        <v>49</v>
      </c>
      <c r="F373" s="98"/>
      <c r="G373" s="98"/>
      <c r="H373" s="98"/>
      <c r="I373" s="98"/>
      <c r="J373" s="292" t="s">
        <v>1013</v>
      </c>
      <c r="K373" s="292" t="s">
        <v>1257</v>
      </c>
      <c r="L373" s="98"/>
      <c r="M373" s="98"/>
      <c r="N373" s="98"/>
      <c r="O373" s="107" t="s">
        <v>1261</v>
      </c>
      <c r="P373" s="98"/>
      <c r="Q373" s="98"/>
      <c r="R373" s="107">
        <v>0.75600000000000001</v>
      </c>
      <c r="S373" s="98"/>
      <c r="T373" s="98"/>
      <c r="U373" s="98"/>
      <c r="V373" s="98"/>
      <c r="W373" s="98"/>
      <c r="X373" s="101">
        <f t="shared" si="19"/>
        <v>0.75600000000000001</v>
      </c>
      <c r="Y373" s="107">
        <v>1386</v>
      </c>
      <c r="Z373" s="106" t="str">
        <f t="shared" si="21"/>
        <v>S</v>
      </c>
      <c r="AA373" s="174"/>
      <c r="AB373" s="174"/>
      <c r="AC373" s="174"/>
      <c r="AD373" s="174"/>
      <c r="AE373" s="174"/>
      <c r="AF373" s="174"/>
      <c r="AG373" s="174"/>
      <c r="AH373" s="174"/>
      <c r="AI373" s="174"/>
      <c r="AJ373" s="174"/>
      <c r="AK373" s="174"/>
      <c r="AL373" s="174"/>
    </row>
    <row r="374" spans="1:38" s="107" customFormat="1">
      <c r="A374" s="97">
        <v>35</v>
      </c>
      <c r="B374" s="103" t="s">
        <v>45</v>
      </c>
      <c r="C374" s="103">
        <v>1982</v>
      </c>
      <c r="D374" s="103" t="s">
        <v>46</v>
      </c>
      <c r="E374" s="99" t="s">
        <v>49</v>
      </c>
      <c r="F374" s="98" t="s">
        <v>50</v>
      </c>
      <c r="G374" s="98" t="s">
        <v>51</v>
      </c>
      <c r="H374" s="98" t="s">
        <v>23</v>
      </c>
      <c r="I374" s="98"/>
      <c r="J374" s="98" t="s">
        <v>1013</v>
      </c>
      <c r="K374" s="98" t="s">
        <v>1134</v>
      </c>
      <c r="L374" s="98" t="s">
        <v>52</v>
      </c>
      <c r="M374" s="98"/>
      <c r="N374" s="98"/>
      <c r="O374" s="98" t="s">
        <v>71</v>
      </c>
      <c r="P374" s="98"/>
      <c r="Q374" s="98">
        <v>0.74</v>
      </c>
      <c r="R374" s="98">
        <f>+Q374</f>
        <v>0.74</v>
      </c>
      <c r="S374" s="98"/>
      <c r="T374" s="98"/>
      <c r="U374" s="98"/>
      <c r="V374" s="98"/>
      <c r="W374" s="98">
        <v>1353</v>
      </c>
      <c r="X374" s="101">
        <f t="shared" si="19"/>
        <v>0.74</v>
      </c>
      <c r="Y374" s="111">
        <f>+W374</f>
        <v>1353</v>
      </c>
      <c r="Z374" s="106" t="str">
        <f t="shared" si="21"/>
        <v>S</v>
      </c>
      <c r="AA374" s="174"/>
      <c r="AB374" s="174"/>
      <c r="AC374" s="174"/>
      <c r="AD374" s="174"/>
      <c r="AE374" s="174"/>
      <c r="AF374" s="174"/>
      <c r="AG374" s="174"/>
      <c r="AH374" s="174"/>
      <c r="AI374" s="174"/>
      <c r="AJ374" s="174"/>
      <c r="AK374" s="174"/>
      <c r="AL374" s="174"/>
    </row>
    <row r="375" spans="1:38" s="107" customFormat="1">
      <c r="A375" s="97">
        <v>35</v>
      </c>
      <c r="B375" s="103" t="s">
        <v>45</v>
      </c>
      <c r="C375" s="103">
        <v>1982</v>
      </c>
      <c r="D375" s="103" t="s">
        <v>46</v>
      </c>
      <c r="E375" s="99" t="s">
        <v>49</v>
      </c>
      <c r="F375" s="98" t="s">
        <v>50</v>
      </c>
      <c r="G375" s="98" t="s">
        <v>51</v>
      </c>
      <c r="H375" s="98" t="s">
        <v>23</v>
      </c>
      <c r="I375" s="98"/>
      <c r="J375" s="98" t="s">
        <v>1013</v>
      </c>
      <c r="K375" s="98" t="s">
        <v>1134</v>
      </c>
      <c r="L375" s="98" t="s">
        <v>52</v>
      </c>
      <c r="M375" s="98"/>
      <c r="N375" s="98"/>
      <c r="O375" s="98" t="s">
        <v>68</v>
      </c>
      <c r="P375" s="98"/>
      <c r="Q375" s="98">
        <v>0.74</v>
      </c>
      <c r="R375" s="98">
        <f>+Q375</f>
        <v>0.74</v>
      </c>
      <c r="S375" s="98"/>
      <c r="T375" s="98"/>
      <c r="U375" s="98"/>
      <c r="V375" s="98"/>
      <c r="W375" s="98">
        <v>1360</v>
      </c>
      <c r="X375" s="101">
        <f t="shared" si="19"/>
        <v>0.74</v>
      </c>
      <c r="Y375" s="111">
        <f>+W375</f>
        <v>1360</v>
      </c>
      <c r="Z375" s="106" t="str">
        <f t="shared" si="21"/>
        <v>S</v>
      </c>
      <c r="AA375" s="174"/>
      <c r="AB375" s="174"/>
      <c r="AC375" s="174"/>
      <c r="AD375" s="174"/>
      <c r="AE375" s="174"/>
      <c r="AF375" s="174"/>
      <c r="AG375" s="174"/>
      <c r="AH375" s="174"/>
      <c r="AI375" s="174"/>
      <c r="AJ375" s="174"/>
      <c r="AK375" s="174"/>
      <c r="AL375" s="174"/>
    </row>
    <row r="376" spans="1:38" s="107" customFormat="1">
      <c r="A376" s="97">
        <v>46</v>
      </c>
      <c r="B376" s="103" t="s">
        <v>45</v>
      </c>
      <c r="C376" s="103">
        <v>1984</v>
      </c>
      <c r="D376" s="103" t="s">
        <v>113</v>
      </c>
      <c r="E376" s="99" t="s">
        <v>49</v>
      </c>
      <c r="F376" s="98">
        <v>1983</v>
      </c>
      <c r="G376" s="98" t="s">
        <v>116</v>
      </c>
      <c r="H376" s="98" t="s">
        <v>95</v>
      </c>
      <c r="I376" s="98"/>
      <c r="J376" s="98" t="s">
        <v>1013</v>
      </c>
      <c r="K376" s="98" t="s">
        <v>1134</v>
      </c>
      <c r="L376" s="98" t="s">
        <v>117</v>
      </c>
      <c r="M376" s="98"/>
      <c r="N376" s="98"/>
      <c r="O376" s="98" t="s">
        <v>127</v>
      </c>
      <c r="P376" s="98"/>
      <c r="Q376" s="98"/>
      <c r="R376" s="98">
        <v>0.74</v>
      </c>
      <c r="S376" s="98"/>
      <c r="T376" s="98"/>
      <c r="U376" s="98"/>
      <c r="V376" s="98"/>
      <c r="W376" s="98"/>
      <c r="X376" s="101">
        <f t="shared" si="19"/>
        <v>0.74</v>
      </c>
      <c r="Y376" s="111">
        <v>1364</v>
      </c>
      <c r="Z376" s="106" t="str">
        <f t="shared" si="21"/>
        <v>S</v>
      </c>
      <c r="AA376" s="174"/>
      <c r="AB376" s="174"/>
      <c r="AC376" s="174"/>
      <c r="AD376" s="174"/>
      <c r="AE376" s="174"/>
      <c r="AF376" s="174"/>
      <c r="AG376" s="174"/>
      <c r="AH376" s="174"/>
      <c r="AI376" s="174"/>
      <c r="AJ376" s="174"/>
      <c r="AK376" s="174"/>
      <c r="AL376" s="174"/>
    </row>
    <row r="377" spans="1:38" s="107" customFormat="1">
      <c r="A377" s="97"/>
      <c r="B377" s="258" t="s">
        <v>1276</v>
      </c>
      <c r="C377" s="259">
        <v>1989</v>
      </c>
      <c r="D377" s="101"/>
      <c r="E377" s="103" t="s">
        <v>49</v>
      </c>
      <c r="F377" s="98"/>
      <c r="G377" s="98"/>
      <c r="H377" s="98"/>
      <c r="I377" s="98"/>
      <c r="J377" s="292" t="s">
        <v>1013</v>
      </c>
      <c r="K377" s="292" t="s">
        <v>1002</v>
      </c>
      <c r="L377" s="98"/>
      <c r="M377" s="98"/>
      <c r="N377" s="98"/>
      <c r="O377" s="107" t="s">
        <v>1245</v>
      </c>
      <c r="P377" s="98"/>
      <c r="Q377" s="98"/>
      <c r="R377" s="107">
        <v>0.73</v>
      </c>
      <c r="S377" s="98"/>
      <c r="T377" s="98"/>
      <c r="U377" s="98"/>
      <c r="V377" s="98"/>
      <c r="W377" s="98"/>
      <c r="X377" s="101">
        <f t="shared" si="19"/>
        <v>0.73</v>
      </c>
      <c r="Y377" s="107">
        <v>1339</v>
      </c>
      <c r="Z377" s="106" t="str">
        <f t="shared" si="21"/>
        <v>S</v>
      </c>
      <c r="AA377" s="174"/>
      <c r="AB377" s="174"/>
      <c r="AC377" s="174"/>
      <c r="AD377" s="174"/>
      <c r="AE377" s="174"/>
      <c r="AF377" s="174"/>
      <c r="AG377" s="174"/>
      <c r="AH377" s="174"/>
      <c r="AI377" s="174"/>
      <c r="AJ377" s="174"/>
      <c r="AK377" s="174"/>
      <c r="AL377" s="174"/>
    </row>
    <row r="378" spans="1:38" s="107" customFormat="1">
      <c r="A378" s="97"/>
      <c r="B378" s="258" t="s">
        <v>1276</v>
      </c>
      <c r="C378" s="259">
        <v>1989</v>
      </c>
      <c r="D378" s="101"/>
      <c r="E378" s="103" t="s">
        <v>49</v>
      </c>
      <c r="F378" s="98"/>
      <c r="G378" s="98"/>
      <c r="H378" s="98"/>
      <c r="I378" s="98"/>
      <c r="J378" s="292" t="s">
        <v>1013</v>
      </c>
      <c r="K378" s="292" t="s">
        <v>1002</v>
      </c>
      <c r="L378" s="98"/>
      <c r="M378" s="98"/>
      <c r="N378" s="98"/>
      <c r="O378" s="107" t="s">
        <v>1246</v>
      </c>
      <c r="P378" s="98"/>
      <c r="Q378" s="98"/>
      <c r="R378" s="107">
        <v>0.72899999999999998</v>
      </c>
      <c r="S378" s="98"/>
      <c r="T378" s="98"/>
      <c r="U378" s="98"/>
      <c r="V378" s="98"/>
      <c r="W378" s="98"/>
      <c r="X378" s="101">
        <f t="shared" si="19"/>
        <v>0.72899999999999998</v>
      </c>
      <c r="Y378" s="107">
        <v>1338</v>
      </c>
      <c r="Z378" s="106" t="str">
        <f t="shared" si="21"/>
        <v>S</v>
      </c>
      <c r="AA378" s="174"/>
      <c r="AB378" s="174"/>
      <c r="AC378" s="174"/>
      <c r="AD378" s="174"/>
      <c r="AE378" s="174"/>
      <c r="AF378" s="174"/>
      <c r="AG378" s="174"/>
      <c r="AH378" s="174"/>
      <c r="AI378" s="174"/>
      <c r="AJ378" s="174"/>
      <c r="AK378" s="174"/>
      <c r="AL378" s="174"/>
    </row>
    <row r="379" spans="1:38" s="107" customFormat="1">
      <c r="A379" s="97">
        <v>35</v>
      </c>
      <c r="B379" s="103" t="s">
        <v>45</v>
      </c>
      <c r="C379" s="103">
        <v>1982</v>
      </c>
      <c r="D379" s="103" t="s">
        <v>46</v>
      </c>
      <c r="E379" s="99" t="s">
        <v>49</v>
      </c>
      <c r="F379" s="98" t="s">
        <v>50</v>
      </c>
      <c r="G379" s="98" t="s">
        <v>51</v>
      </c>
      <c r="H379" s="98" t="s">
        <v>23</v>
      </c>
      <c r="I379" s="98"/>
      <c r="J379" s="98" t="s">
        <v>1013</v>
      </c>
      <c r="K379" s="98" t="s">
        <v>1134</v>
      </c>
      <c r="L379" s="98" t="s">
        <v>52</v>
      </c>
      <c r="M379" s="98"/>
      <c r="N379" s="98"/>
      <c r="O379" s="98" t="s">
        <v>72</v>
      </c>
      <c r="P379" s="98"/>
      <c r="Q379" s="98">
        <v>0.71</v>
      </c>
      <c r="R379" s="98">
        <f>+Q379</f>
        <v>0.71</v>
      </c>
      <c r="S379" s="98"/>
      <c r="T379" s="98"/>
      <c r="U379" s="98"/>
      <c r="V379" s="98"/>
      <c r="W379" s="98">
        <v>1297</v>
      </c>
      <c r="X379" s="101">
        <f t="shared" si="19"/>
        <v>0.71</v>
      </c>
      <c r="Y379" s="111">
        <f>+W379</f>
        <v>1297</v>
      </c>
      <c r="Z379" s="106" t="str">
        <f t="shared" si="21"/>
        <v>S</v>
      </c>
      <c r="AA379" s="174"/>
      <c r="AB379" s="174"/>
      <c r="AC379" s="174"/>
      <c r="AD379" s="174"/>
      <c r="AE379" s="174"/>
      <c r="AF379" s="174"/>
      <c r="AG379" s="174"/>
      <c r="AH379" s="174"/>
      <c r="AI379" s="174"/>
      <c r="AJ379" s="174"/>
      <c r="AK379" s="174"/>
      <c r="AL379" s="174"/>
    </row>
    <row r="380" spans="1:38" s="107" customFormat="1">
      <c r="A380" s="97">
        <v>46</v>
      </c>
      <c r="B380" s="103" t="s">
        <v>45</v>
      </c>
      <c r="C380" s="103">
        <v>1984</v>
      </c>
      <c r="D380" s="103" t="s">
        <v>113</v>
      </c>
      <c r="E380" s="99" t="s">
        <v>49</v>
      </c>
      <c r="F380" s="98">
        <v>1983</v>
      </c>
      <c r="G380" s="98" t="s">
        <v>116</v>
      </c>
      <c r="H380" s="98" t="s">
        <v>95</v>
      </c>
      <c r="I380" s="98"/>
      <c r="J380" s="98" t="s">
        <v>1013</v>
      </c>
      <c r="K380" s="98" t="s">
        <v>1134</v>
      </c>
      <c r="L380" s="98" t="s">
        <v>117</v>
      </c>
      <c r="M380" s="98"/>
      <c r="N380" s="98"/>
      <c r="O380" s="98" t="s">
        <v>133</v>
      </c>
      <c r="P380" s="98"/>
      <c r="Q380" s="98"/>
      <c r="R380" s="98">
        <v>0.69</v>
      </c>
      <c r="S380" s="98"/>
      <c r="T380" s="98"/>
      <c r="U380" s="98"/>
      <c r="V380" s="98"/>
      <c r="W380" s="98"/>
      <c r="X380" s="101">
        <f t="shared" si="19"/>
        <v>0.69</v>
      </c>
      <c r="Y380" s="111">
        <v>1261</v>
      </c>
      <c r="Z380" s="106" t="str">
        <f t="shared" si="21"/>
        <v>S</v>
      </c>
      <c r="AA380" s="174"/>
      <c r="AB380" s="174"/>
      <c r="AC380" s="174"/>
      <c r="AD380" s="174"/>
      <c r="AE380" s="174"/>
      <c r="AF380" s="174"/>
      <c r="AG380" s="174"/>
      <c r="AH380" s="174"/>
      <c r="AI380" s="174"/>
      <c r="AJ380" s="174"/>
      <c r="AK380" s="174"/>
      <c r="AL380" s="174"/>
    </row>
    <row r="381" spans="1:38" s="107" customFormat="1">
      <c r="A381" s="97">
        <v>46</v>
      </c>
      <c r="B381" s="103" t="s">
        <v>45</v>
      </c>
      <c r="C381" s="103">
        <v>1984</v>
      </c>
      <c r="D381" s="103" t="s">
        <v>113</v>
      </c>
      <c r="E381" s="99" t="s">
        <v>49</v>
      </c>
      <c r="F381" s="98">
        <v>1983</v>
      </c>
      <c r="G381" s="98" t="s">
        <v>116</v>
      </c>
      <c r="H381" s="98" t="s">
        <v>95</v>
      </c>
      <c r="I381" s="98"/>
      <c r="J381" s="98" t="s">
        <v>1013</v>
      </c>
      <c r="K381" s="98" t="s">
        <v>1134</v>
      </c>
      <c r="L381" s="98" t="s">
        <v>117</v>
      </c>
      <c r="M381" s="98"/>
      <c r="N381" s="98"/>
      <c r="O381" s="98" t="s">
        <v>119</v>
      </c>
      <c r="P381" s="98"/>
      <c r="Q381" s="98"/>
      <c r="R381" s="98">
        <v>0.66</v>
      </c>
      <c r="S381" s="98"/>
      <c r="T381" s="98"/>
      <c r="U381" s="98"/>
      <c r="V381" s="98"/>
      <c r="W381" s="98"/>
      <c r="X381" s="101">
        <f t="shared" ref="X381:X394" si="22">IF(R381&lt;&gt;0,IF(R381&gt;1,R381/100,R381),IF(U381&lt;&gt;0,IF(U381&gt;1,U381/100,U381),""))</f>
        <v>0.66</v>
      </c>
      <c r="Y381" s="111">
        <v>1204</v>
      </c>
      <c r="Z381" s="106" t="str">
        <f t="shared" si="21"/>
        <v>S</v>
      </c>
      <c r="AA381" s="174"/>
      <c r="AB381" s="174"/>
      <c r="AC381" s="174"/>
      <c r="AD381" s="174"/>
      <c r="AE381" s="174"/>
      <c r="AF381" s="174"/>
      <c r="AG381" s="174"/>
      <c r="AH381" s="174"/>
      <c r="AI381" s="174"/>
      <c r="AJ381" s="174"/>
      <c r="AK381" s="174"/>
      <c r="AL381" s="174"/>
    </row>
    <row r="382" spans="1:38" s="107" customFormat="1">
      <c r="A382" s="97"/>
      <c r="B382" s="258" t="s">
        <v>1276</v>
      </c>
      <c r="C382" s="259">
        <v>1989</v>
      </c>
      <c r="D382" s="101"/>
      <c r="E382" s="103" t="s">
        <v>49</v>
      </c>
      <c r="F382" s="98"/>
      <c r="G382" s="98"/>
      <c r="H382" s="98"/>
      <c r="I382" s="98"/>
      <c r="J382" s="292" t="s">
        <v>1013</v>
      </c>
      <c r="K382" s="292" t="s">
        <v>1002</v>
      </c>
      <c r="L382" s="98"/>
      <c r="M382" s="98"/>
      <c r="N382" s="98"/>
      <c r="O382" s="107" t="s">
        <v>1239</v>
      </c>
      <c r="P382" s="98"/>
      <c r="Q382" s="98"/>
      <c r="R382" s="107">
        <v>0.64300000000000002</v>
      </c>
      <c r="S382" s="98"/>
      <c r="T382" s="98"/>
      <c r="U382" s="98"/>
      <c r="V382" s="98"/>
      <c r="W382" s="98"/>
      <c r="X382" s="101">
        <f t="shared" si="22"/>
        <v>0.64300000000000002</v>
      </c>
      <c r="Y382" s="107">
        <v>1180</v>
      </c>
      <c r="Z382" s="106" t="str">
        <f t="shared" si="21"/>
        <v>S</v>
      </c>
      <c r="AA382" s="174"/>
      <c r="AB382" s="174"/>
      <c r="AC382" s="174"/>
      <c r="AD382" s="174"/>
      <c r="AE382" s="174"/>
      <c r="AF382" s="174"/>
      <c r="AG382" s="174"/>
      <c r="AH382" s="174"/>
      <c r="AI382" s="174"/>
      <c r="AJ382" s="174"/>
      <c r="AK382" s="174"/>
      <c r="AL382" s="174"/>
    </row>
    <row r="383" spans="1:38" s="107" customFormat="1">
      <c r="A383" s="97">
        <v>46</v>
      </c>
      <c r="B383" s="103" t="s">
        <v>45</v>
      </c>
      <c r="C383" s="103">
        <v>1984</v>
      </c>
      <c r="D383" s="103" t="s">
        <v>113</v>
      </c>
      <c r="E383" s="99" t="s">
        <v>49</v>
      </c>
      <c r="F383" s="98">
        <v>1983</v>
      </c>
      <c r="G383" s="98" t="s">
        <v>116</v>
      </c>
      <c r="H383" s="98" t="s">
        <v>95</v>
      </c>
      <c r="I383" s="98"/>
      <c r="J383" s="98" t="s">
        <v>1013</v>
      </c>
      <c r="K383" s="98" t="s">
        <v>1134</v>
      </c>
      <c r="L383" s="98" t="s">
        <v>117</v>
      </c>
      <c r="M383" s="98"/>
      <c r="N383" s="98"/>
      <c r="O383" s="98" t="s">
        <v>118</v>
      </c>
      <c r="P383" s="98"/>
      <c r="Q383" s="98"/>
      <c r="R383" s="98">
        <v>0.63</v>
      </c>
      <c r="S383" s="98"/>
      <c r="T383" s="98"/>
      <c r="U383" s="98"/>
      <c r="V383" s="98"/>
      <c r="W383" s="98"/>
      <c r="X383" s="101">
        <f t="shared" si="22"/>
        <v>0.63</v>
      </c>
      <c r="Y383" s="111">
        <v>1146</v>
      </c>
      <c r="Z383" s="106" t="str">
        <f t="shared" si="21"/>
        <v>S</v>
      </c>
      <c r="AA383" s="174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174"/>
      <c r="AL383" s="174"/>
    </row>
    <row r="384" spans="1:38" s="107" customFormat="1">
      <c r="A384" s="97">
        <v>37</v>
      </c>
      <c r="B384" s="103" t="s">
        <v>45</v>
      </c>
      <c r="C384" s="103">
        <v>1982</v>
      </c>
      <c r="D384" s="103" t="s">
        <v>92</v>
      </c>
      <c r="E384" s="99" t="s">
        <v>49</v>
      </c>
      <c r="F384" s="98">
        <v>1989</v>
      </c>
      <c r="G384" s="98" t="s">
        <v>94</v>
      </c>
      <c r="H384" s="98" t="s">
        <v>95</v>
      </c>
      <c r="I384" s="98"/>
      <c r="J384" s="98" t="s">
        <v>1013</v>
      </c>
      <c r="K384" s="98" t="s">
        <v>1134</v>
      </c>
      <c r="L384" s="98" t="s">
        <v>96</v>
      </c>
      <c r="M384" s="98"/>
      <c r="N384" s="98"/>
      <c r="O384" s="98" t="s">
        <v>101</v>
      </c>
      <c r="P384" s="98"/>
      <c r="Q384" s="98"/>
      <c r="R384" s="98"/>
      <c r="S384" s="98"/>
      <c r="T384" s="98"/>
      <c r="U384" s="98"/>
      <c r="V384" s="98"/>
      <c r="W384" s="98">
        <v>1329</v>
      </c>
      <c r="X384" s="101" t="str">
        <f t="shared" si="22"/>
        <v/>
      </c>
      <c r="Y384" s="111">
        <f>+W384</f>
        <v>1329</v>
      </c>
      <c r="Z384" s="106" t="s">
        <v>1193</v>
      </c>
      <c r="AA384" s="174"/>
      <c r="AB384" s="174"/>
      <c r="AC384" s="174"/>
      <c r="AD384" s="174"/>
      <c r="AE384" s="174"/>
      <c r="AF384" s="174"/>
      <c r="AG384" s="174"/>
      <c r="AH384" s="174"/>
      <c r="AI384" s="174"/>
      <c r="AJ384" s="174"/>
      <c r="AK384" s="174"/>
      <c r="AL384" s="174"/>
    </row>
    <row r="385" spans="1:38" s="107" customFormat="1">
      <c r="A385" s="97">
        <v>35</v>
      </c>
      <c r="B385" s="103" t="s">
        <v>45</v>
      </c>
      <c r="C385" s="103">
        <v>1982</v>
      </c>
      <c r="D385" s="103" t="s">
        <v>46</v>
      </c>
      <c r="E385" s="99" t="s">
        <v>49</v>
      </c>
      <c r="F385" s="98" t="s">
        <v>50</v>
      </c>
      <c r="G385" s="98" t="s">
        <v>51</v>
      </c>
      <c r="H385" s="98" t="s">
        <v>23</v>
      </c>
      <c r="I385" s="98"/>
      <c r="J385" s="98" t="s">
        <v>1013</v>
      </c>
      <c r="K385" s="98" t="s">
        <v>1134</v>
      </c>
      <c r="L385" s="98" t="s">
        <v>52</v>
      </c>
      <c r="M385" s="98"/>
      <c r="N385" s="98"/>
      <c r="O385" s="98" t="s">
        <v>66</v>
      </c>
      <c r="P385" s="98"/>
      <c r="Q385" s="98"/>
      <c r="R385" s="98"/>
      <c r="S385" s="98"/>
      <c r="T385" s="98"/>
      <c r="U385" s="98"/>
      <c r="V385" s="98"/>
      <c r="W385" s="98"/>
      <c r="X385" s="101" t="str">
        <f t="shared" si="22"/>
        <v/>
      </c>
      <c r="Y385" s="111">
        <v>1371</v>
      </c>
      <c r="Z385" s="106" t="s">
        <v>1193</v>
      </c>
      <c r="AA385" s="174"/>
      <c r="AB385" s="174"/>
      <c r="AC385" s="174"/>
      <c r="AD385" s="174"/>
      <c r="AE385" s="174"/>
      <c r="AF385" s="174"/>
      <c r="AG385" s="174"/>
      <c r="AH385" s="174"/>
      <c r="AI385" s="174"/>
      <c r="AJ385" s="174"/>
      <c r="AK385" s="174"/>
      <c r="AL385" s="174"/>
    </row>
    <row r="386" spans="1:38" s="107" customFormat="1">
      <c r="A386" s="97">
        <v>35</v>
      </c>
      <c r="B386" s="103" t="s">
        <v>45</v>
      </c>
      <c r="C386" s="103">
        <v>1982</v>
      </c>
      <c r="D386" s="103" t="s">
        <v>46</v>
      </c>
      <c r="E386" s="99" t="s">
        <v>49</v>
      </c>
      <c r="F386" s="98" t="s">
        <v>50</v>
      </c>
      <c r="G386" s="98" t="s">
        <v>51</v>
      </c>
      <c r="H386" s="98" t="s">
        <v>23</v>
      </c>
      <c r="I386" s="98"/>
      <c r="J386" s="98" t="s">
        <v>1013</v>
      </c>
      <c r="K386" s="98" t="s">
        <v>1134</v>
      </c>
      <c r="L386" s="98" t="s">
        <v>52</v>
      </c>
      <c r="M386" s="98"/>
      <c r="N386" s="98"/>
      <c r="O386" s="98" t="s">
        <v>64</v>
      </c>
      <c r="P386" s="98"/>
      <c r="Q386" s="98"/>
      <c r="R386" s="98"/>
      <c r="S386" s="98"/>
      <c r="T386" s="98"/>
      <c r="U386" s="98"/>
      <c r="V386" s="98"/>
      <c r="W386" s="98"/>
      <c r="X386" s="101" t="str">
        <f t="shared" si="22"/>
        <v/>
      </c>
      <c r="Y386" s="111">
        <v>1394</v>
      </c>
      <c r="Z386" s="106" t="s">
        <v>1193</v>
      </c>
      <c r="AA386" s="174"/>
      <c r="AB386" s="174"/>
      <c r="AC386" s="174"/>
      <c r="AD386" s="174"/>
      <c r="AE386" s="174"/>
      <c r="AF386" s="174"/>
      <c r="AG386" s="174"/>
      <c r="AH386" s="174"/>
      <c r="AI386" s="174"/>
      <c r="AJ386" s="174"/>
      <c r="AK386" s="174"/>
      <c r="AL386" s="174"/>
    </row>
    <row r="387" spans="1:38" s="107" customFormat="1">
      <c r="A387" s="97">
        <v>35</v>
      </c>
      <c r="B387" s="103" t="s">
        <v>45</v>
      </c>
      <c r="C387" s="103">
        <v>1982</v>
      </c>
      <c r="D387" s="103" t="s">
        <v>46</v>
      </c>
      <c r="E387" s="99" t="s">
        <v>49</v>
      </c>
      <c r="F387" s="98" t="s">
        <v>50</v>
      </c>
      <c r="G387" s="98" t="s">
        <v>51</v>
      </c>
      <c r="H387" s="98" t="s">
        <v>23</v>
      </c>
      <c r="I387" s="98"/>
      <c r="J387" s="98" t="s">
        <v>1013</v>
      </c>
      <c r="K387" s="98" t="s">
        <v>1134</v>
      </c>
      <c r="L387" s="98" t="s">
        <v>52</v>
      </c>
      <c r="M387" s="98"/>
      <c r="N387" s="98"/>
      <c r="O387" s="98" t="s">
        <v>61</v>
      </c>
      <c r="P387" s="98"/>
      <c r="Q387" s="98"/>
      <c r="R387" s="98"/>
      <c r="S387" s="98"/>
      <c r="T387" s="98"/>
      <c r="U387" s="98"/>
      <c r="V387" s="98"/>
      <c r="W387" s="98"/>
      <c r="X387" s="101" t="str">
        <f t="shared" si="22"/>
        <v/>
      </c>
      <c r="Y387" s="111">
        <v>1401</v>
      </c>
      <c r="Z387" s="106" t="s">
        <v>1193</v>
      </c>
      <c r="AA387" s="174"/>
      <c r="AB387" s="174"/>
      <c r="AC387" s="174"/>
      <c r="AD387" s="174"/>
      <c r="AE387" s="174"/>
      <c r="AF387" s="174"/>
      <c r="AG387" s="174"/>
      <c r="AH387" s="174"/>
      <c r="AI387" s="174"/>
      <c r="AJ387" s="174"/>
      <c r="AK387" s="174"/>
      <c r="AL387" s="174"/>
    </row>
    <row r="388" spans="1:38" s="107" customFormat="1">
      <c r="A388" s="97">
        <v>35</v>
      </c>
      <c r="B388" s="103" t="s">
        <v>45</v>
      </c>
      <c r="C388" s="103">
        <v>1982</v>
      </c>
      <c r="D388" s="103" t="s">
        <v>46</v>
      </c>
      <c r="E388" s="99" t="s">
        <v>49</v>
      </c>
      <c r="F388" s="98" t="s">
        <v>50</v>
      </c>
      <c r="G388" s="98" t="s">
        <v>51</v>
      </c>
      <c r="H388" s="98" t="s">
        <v>23</v>
      </c>
      <c r="I388" s="98"/>
      <c r="J388" s="98" t="s">
        <v>1013</v>
      </c>
      <c r="K388" s="98" t="s">
        <v>1134</v>
      </c>
      <c r="L388" s="98" t="s">
        <v>52</v>
      </c>
      <c r="M388" s="98"/>
      <c r="N388" s="98"/>
      <c r="O388" s="98" t="s">
        <v>58</v>
      </c>
      <c r="P388" s="98"/>
      <c r="Q388" s="98"/>
      <c r="R388" s="98"/>
      <c r="S388" s="98"/>
      <c r="T388" s="98"/>
      <c r="U388" s="98"/>
      <c r="V388" s="98"/>
      <c r="W388" s="98"/>
      <c r="X388" s="101" t="str">
        <f t="shared" si="22"/>
        <v/>
      </c>
      <c r="Y388" s="111">
        <v>1409</v>
      </c>
      <c r="Z388" s="106" t="s">
        <v>1193</v>
      </c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4"/>
      <c r="AK388" s="174"/>
      <c r="AL388" s="174"/>
    </row>
    <row r="389" spans="1:38" s="107" customFormat="1">
      <c r="A389" s="97">
        <v>35</v>
      </c>
      <c r="B389" s="103" t="s">
        <v>45</v>
      </c>
      <c r="C389" s="103">
        <v>1982</v>
      </c>
      <c r="D389" s="103" t="s">
        <v>46</v>
      </c>
      <c r="E389" s="99" t="s">
        <v>49</v>
      </c>
      <c r="F389" s="98" t="s">
        <v>50</v>
      </c>
      <c r="G389" s="98" t="s">
        <v>51</v>
      </c>
      <c r="H389" s="98" t="s">
        <v>23</v>
      </c>
      <c r="I389" s="98"/>
      <c r="J389" s="98" t="s">
        <v>1013</v>
      </c>
      <c r="K389" s="98" t="s">
        <v>1134</v>
      </c>
      <c r="L389" s="98" t="s">
        <v>52</v>
      </c>
      <c r="M389" s="98"/>
      <c r="N389" s="98"/>
      <c r="O389" s="98" t="s">
        <v>65</v>
      </c>
      <c r="P389" s="98"/>
      <c r="Q389" s="98"/>
      <c r="R389" s="98"/>
      <c r="S389" s="98"/>
      <c r="T389" s="98"/>
      <c r="U389" s="98"/>
      <c r="V389" s="98"/>
      <c r="W389" s="98"/>
      <c r="X389" s="101" t="str">
        <f t="shared" si="22"/>
        <v/>
      </c>
      <c r="Y389" s="111">
        <v>1413</v>
      </c>
      <c r="Z389" s="106" t="s">
        <v>1193</v>
      </c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4"/>
      <c r="AK389" s="174"/>
      <c r="AL389" s="174"/>
    </row>
    <row r="390" spans="1:38" s="107" customFormat="1">
      <c r="A390" s="97">
        <v>35</v>
      </c>
      <c r="B390" s="103" t="s">
        <v>45</v>
      </c>
      <c r="C390" s="103">
        <v>1982</v>
      </c>
      <c r="D390" s="103" t="s">
        <v>46</v>
      </c>
      <c r="E390" s="99" t="s">
        <v>49</v>
      </c>
      <c r="F390" s="98" t="s">
        <v>50</v>
      </c>
      <c r="G390" s="98" t="s">
        <v>51</v>
      </c>
      <c r="H390" s="98" t="s">
        <v>23</v>
      </c>
      <c r="I390" s="98"/>
      <c r="J390" s="98" t="s">
        <v>1013</v>
      </c>
      <c r="K390" s="98" t="s">
        <v>1134</v>
      </c>
      <c r="L390" s="98" t="s">
        <v>52</v>
      </c>
      <c r="M390" s="98"/>
      <c r="N390" s="98"/>
      <c r="O390" s="98" t="s">
        <v>60</v>
      </c>
      <c r="P390" s="98"/>
      <c r="Q390" s="98"/>
      <c r="R390" s="98"/>
      <c r="S390" s="98"/>
      <c r="T390" s="98"/>
      <c r="U390" s="98"/>
      <c r="V390" s="98"/>
      <c r="W390" s="98"/>
      <c r="X390" s="101" t="str">
        <f t="shared" si="22"/>
        <v/>
      </c>
      <c r="Y390" s="111">
        <v>1425</v>
      </c>
      <c r="Z390" s="106" t="s">
        <v>1193</v>
      </c>
      <c r="AA390" s="174"/>
      <c r="AB390" s="174"/>
      <c r="AC390" s="174"/>
      <c r="AD390" s="174"/>
      <c r="AE390" s="174"/>
      <c r="AF390" s="174"/>
      <c r="AG390" s="174"/>
      <c r="AH390" s="174"/>
      <c r="AI390" s="174"/>
      <c r="AJ390" s="174"/>
      <c r="AK390" s="174"/>
      <c r="AL390" s="174"/>
    </row>
    <row r="391" spans="1:38" s="107" customFormat="1">
      <c r="A391" s="97">
        <v>35</v>
      </c>
      <c r="B391" s="103" t="s">
        <v>45</v>
      </c>
      <c r="C391" s="103">
        <v>1982</v>
      </c>
      <c r="D391" s="103" t="s">
        <v>46</v>
      </c>
      <c r="E391" s="99" t="s">
        <v>49</v>
      </c>
      <c r="F391" s="98" t="s">
        <v>50</v>
      </c>
      <c r="G391" s="98" t="s">
        <v>51</v>
      </c>
      <c r="H391" s="98" t="s">
        <v>23</v>
      </c>
      <c r="I391" s="98"/>
      <c r="J391" s="98" t="s">
        <v>1013</v>
      </c>
      <c r="K391" s="98" t="s">
        <v>1134</v>
      </c>
      <c r="L391" s="98" t="s">
        <v>52</v>
      </c>
      <c r="M391" s="98"/>
      <c r="N391" s="98"/>
      <c r="O391" s="98" t="s">
        <v>59</v>
      </c>
      <c r="P391" s="98"/>
      <c r="Q391" s="98"/>
      <c r="R391" s="98"/>
      <c r="S391" s="98"/>
      <c r="T391" s="98"/>
      <c r="U391" s="98"/>
      <c r="V391" s="98"/>
      <c r="W391" s="98"/>
      <c r="X391" s="101" t="str">
        <f t="shared" si="22"/>
        <v/>
      </c>
      <c r="Y391" s="111">
        <v>1439</v>
      </c>
      <c r="Z391" s="106" t="s">
        <v>1193</v>
      </c>
      <c r="AA391" s="174"/>
      <c r="AB391" s="174"/>
      <c r="AC391" s="174"/>
      <c r="AD391" s="174"/>
      <c r="AE391" s="174"/>
      <c r="AF391" s="174"/>
      <c r="AG391" s="174"/>
      <c r="AH391" s="174"/>
      <c r="AI391" s="174"/>
      <c r="AJ391" s="174"/>
      <c r="AK391" s="174"/>
      <c r="AL391" s="174"/>
    </row>
    <row r="392" spans="1:38" s="107" customFormat="1">
      <c r="A392" s="97">
        <v>35</v>
      </c>
      <c r="B392" s="103" t="s">
        <v>45</v>
      </c>
      <c r="C392" s="103">
        <v>1982</v>
      </c>
      <c r="D392" s="103" t="s">
        <v>46</v>
      </c>
      <c r="E392" s="99" t="s">
        <v>49</v>
      </c>
      <c r="F392" s="98" t="s">
        <v>50</v>
      </c>
      <c r="G392" s="98" t="s">
        <v>51</v>
      </c>
      <c r="H392" s="98" t="s">
        <v>23</v>
      </c>
      <c r="I392" s="98"/>
      <c r="J392" s="98" t="s">
        <v>1013</v>
      </c>
      <c r="K392" s="98" t="s">
        <v>1134</v>
      </c>
      <c r="L392" s="98" t="s">
        <v>52</v>
      </c>
      <c r="M392" s="98"/>
      <c r="N392" s="98"/>
      <c r="O392" s="98" t="s">
        <v>62</v>
      </c>
      <c r="P392" s="98"/>
      <c r="Q392" s="98"/>
      <c r="R392" s="98"/>
      <c r="S392" s="98"/>
      <c r="T392" s="98"/>
      <c r="U392" s="98"/>
      <c r="V392" s="98"/>
      <c r="W392" s="98"/>
      <c r="X392" s="101" t="str">
        <f t="shared" si="22"/>
        <v/>
      </c>
      <c r="Y392" s="111">
        <v>1451</v>
      </c>
      <c r="Z392" s="106" t="s">
        <v>1193</v>
      </c>
      <c r="AA392" s="174"/>
      <c r="AB392" s="174"/>
      <c r="AC392" s="174"/>
      <c r="AD392" s="174"/>
      <c r="AE392" s="174"/>
      <c r="AF392" s="174"/>
      <c r="AG392" s="174"/>
      <c r="AH392" s="174"/>
      <c r="AI392" s="174"/>
      <c r="AJ392" s="174"/>
      <c r="AK392" s="174"/>
      <c r="AL392" s="174"/>
    </row>
    <row r="393" spans="1:38" s="107" customFormat="1">
      <c r="A393" s="97">
        <v>35</v>
      </c>
      <c r="B393" s="103" t="s">
        <v>45</v>
      </c>
      <c r="C393" s="103">
        <v>1982</v>
      </c>
      <c r="D393" s="103" t="s">
        <v>46</v>
      </c>
      <c r="E393" s="99" t="s">
        <v>49</v>
      </c>
      <c r="F393" s="98" t="s">
        <v>50</v>
      </c>
      <c r="G393" s="98" t="s">
        <v>51</v>
      </c>
      <c r="H393" s="98" t="s">
        <v>23</v>
      </c>
      <c r="I393" s="98"/>
      <c r="J393" s="98" t="s">
        <v>1013</v>
      </c>
      <c r="K393" s="98" t="s">
        <v>1134</v>
      </c>
      <c r="L393" s="98" t="s">
        <v>52</v>
      </c>
      <c r="M393" s="98"/>
      <c r="N393" s="98"/>
      <c r="O393" s="98" t="s">
        <v>63</v>
      </c>
      <c r="P393" s="98"/>
      <c r="Q393" s="98"/>
      <c r="R393" s="98"/>
      <c r="S393" s="98"/>
      <c r="T393" s="98"/>
      <c r="U393" s="98"/>
      <c r="V393" s="98"/>
      <c r="W393" s="98"/>
      <c r="X393" s="101" t="str">
        <f t="shared" si="22"/>
        <v/>
      </c>
      <c r="Y393" s="111">
        <v>1503</v>
      </c>
      <c r="Z393" s="106" t="s">
        <v>1193</v>
      </c>
      <c r="AA393" s="174"/>
      <c r="AB393" s="174"/>
      <c r="AC393" s="174"/>
      <c r="AD393" s="174"/>
      <c r="AE393" s="174"/>
      <c r="AF393" s="174"/>
      <c r="AG393" s="174"/>
      <c r="AH393" s="174"/>
      <c r="AI393" s="174"/>
      <c r="AJ393" s="174"/>
      <c r="AK393" s="174"/>
      <c r="AL393" s="174"/>
    </row>
    <row r="394" spans="1:38" s="107" customFormat="1">
      <c r="A394" s="97">
        <v>37</v>
      </c>
      <c r="B394" s="103" t="s">
        <v>45</v>
      </c>
      <c r="C394" s="103">
        <v>1982</v>
      </c>
      <c r="D394" s="103" t="s">
        <v>92</v>
      </c>
      <c r="E394" s="99" t="s">
        <v>49</v>
      </c>
      <c r="F394" s="98">
        <v>1989</v>
      </c>
      <c r="G394" s="98" t="s">
        <v>94</v>
      </c>
      <c r="H394" s="98" t="s">
        <v>95</v>
      </c>
      <c r="I394" s="98"/>
      <c r="J394" s="98" t="s">
        <v>1013</v>
      </c>
      <c r="K394" s="98" t="s">
        <v>1134</v>
      </c>
      <c r="L394" s="98" t="s">
        <v>96</v>
      </c>
      <c r="M394" s="98"/>
      <c r="N394" s="98"/>
      <c r="O394" s="98" t="s">
        <v>102</v>
      </c>
      <c r="P394" s="98"/>
      <c r="Q394" s="98"/>
      <c r="R394" s="98"/>
      <c r="S394" s="98"/>
      <c r="T394" s="98"/>
      <c r="U394" s="98"/>
      <c r="V394" s="98"/>
      <c r="W394" s="98">
        <v>1504</v>
      </c>
      <c r="X394" s="101" t="str">
        <f t="shared" si="22"/>
        <v/>
      </c>
      <c r="Y394" s="111">
        <f>+W394</f>
        <v>1504</v>
      </c>
      <c r="Z394" s="106" t="s">
        <v>1193</v>
      </c>
      <c r="AA394" s="174"/>
      <c r="AB394" s="174"/>
      <c r="AC394" s="174"/>
      <c r="AD394" s="174"/>
      <c r="AE394" s="174"/>
      <c r="AF394" s="174"/>
      <c r="AG394" s="174"/>
      <c r="AH394" s="174"/>
      <c r="AI394" s="174"/>
      <c r="AJ394" s="174"/>
      <c r="AK394" s="174"/>
      <c r="AL394" s="174"/>
    </row>
    <row r="395" spans="1:38">
      <c r="A395" s="53">
        <v>121</v>
      </c>
      <c r="B395" s="65" t="s">
        <v>427</v>
      </c>
      <c r="C395" s="65">
        <v>2002</v>
      </c>
      <c r="D395" s="65" t="s">
        <v>428</v>
      </c>
      <c r="E395" s="56" t="s">
        <v>430</v>
      </c>
      <c r="F395" s="54">
        <v>2002</v>
      </c>
      <c r="G395" s="54"/>
      <c r="H395" s="54"/>
      <c r="I395" s="54"/>
      <c r="J395" s="54" t="s">
        <v>1051</v>
      </c>
      <c r="K395" s="54" t="s">
        <v>1139</v>
      </c>
      <c r="L395" s="54" t="s">
        <v>435</v>
      </c>
      <c r="M395" s="54"/>
      <c r="N395" s="54"/>
      <c r="O395" s="54" t="s">
        <v>447</v>
      </c>
      <c r="P395" s="54"/>
      <c r="Q395" s="54"/>
      <c r="R395" s="54"/>
      <c r="S395" s="54"/>
      <c r="T395" s="54"/>
      <c r="U395" s="54"/>
      <c r="V395" s="54"/>
      <c r="W395" s="54"/>
      <c r="X395" s="58" t="str">
        <f t="shared" ref="X395:X428" si="23">IF(R395&lt;&gt;0,IF(R395&gt;1,R395/100,R395),IF(U395&lt;&gt;0,IF(U395&gt;1,U395/100,U395),""))</f>
        <v/>
      </c>
      <c r="Y395" s="72">
        <v>1478</v>
      </c>
      <c r="Z395" s="63" t="str">
        <f t="shared" ref="Z395:Z438" si="24">IF(X395&lt;&gt;"",IF(X395&lt;0.9,"S","F"),"")</f>
        <v/>
      </c>
      <c r="AA395" s="183"/>
      <c r="AB395" s="184" t="s">
        <v>1206</v>
      </c>
      <c r="AC395" s="184" t="s">
        <v>1207</v>
      </c>
      <c r="AD395" s="184" t="s">
        <v>1208</v>
      </c>
      <c r="AE395" s="184" t="s">
        <v>1209</v>
      </c>
      <c r="AF395" s="184" t="s">
        <v>1210</v>
      </c>
      <c r="AG395" s="184" t="s">
        <v>1211</v>
      </c>
    </row>
    <row r="396" spans="1:38">
      <c r="A396" s="53">
        <v>121</v>
      </c>
      <c r="B396" s="65" t="s">
        <v>427</v>
      </c>
      <c r="C396" s="65">
        <v>2002</v>
      </c>
      <c r="D396" s="65" t="s">
        <v>428</v>
      </c>
      <c r="E396" s="56" t="s">
        <v>430</v>
      </c>
      <c r="F396" s="54">
        <v>2002</v>
      </c>
      <c r="G396" s="54" t="s">
        <v>431</v>
      </c>
      <c r="H396" s="54" t="s">
        <v>159</v>
      </c>
      <c r="I396" s="54"/>
      <c r="J396" s="54" t="s">
        <v>1051</v>
      </c>
      <c r="K396" s="54" t="s">
        <v>1139</v>
      </c>
      <c r="L396" s="54" t="s">
        <v>432</v>
      </c>
      <c r="M396" s="54" t="s">
        <v>1177</v>
      </c>
      <c r="N396" s="54" t="s">
        <v>1178</v>
      </c>
      <c r="O396" s="54" t="s">
        <v>433</v>
      </c>
      <c r="P396" s="54"/>
      <c r="Q396" s="54"/>
      <c r="R396" s="54"/>
      <c r="S396" s="54"/>
      <c r="T396" s="54"/>
      <c r="U396" s="54"/>
      <c r="V396" s="54"/>
      <c r="W396" s="54"/>
      <c r="X396" s="58" t="str">
        <f t="shared" si="23"/>
        <v/>
      </c>
      <c r="Y396" s="72">
        <v>1612</v>
      </c>
      <c r="Z396" s="63" t="str">
        <f t="shared" si="24"/>
        <v/>
      </c>
      <c r="AA396" s="183" t="str">
        <f>+J396</f>
        <v>W duff</v>
      </c>
      <c r="AB396" s="184">
        <f>AVERAGE($Y$395:$Y$398)</f>
        <v>1501</v>
      </c>
      <c r="AC396" s="184">
        <f>MEDIAN($Y$395:$Y$398)</f>
        <v>1469</v>
      </c>
      <c r="AD396" s="184">
        <f>MAX($Y$395:$Y$398)</f>
        <v>1612</v>
      </c>
      <c r="AE396" s="184">
        <f>MIN($Y$395:$Y$398)</f>
        <v>1454</v>
      </c>
      <c r="AF396" s="186">
        <f>STDEV($Y$395:$Y$398)</f>
        <v>74.699397587932395</v>
      </c>
      <c r="AG396" s="184">
        <f>COUNT($Y$395:$Y$398)</f>
        <v>4</v>
      </c>
    </row>
    <row r="397" spans="1:38">
      <c r="A397" s="53">
        <v>121</v>
      </c>
      <c r="B397" s="65" t="s">
        <v>427</v>
      </c>
      <c r="C397" s="65">
        <v>2002</v>
      </c>
      <c r="D397" s="65" t="s">
        <v>428</v>
      </c>
      <c r="E397" s="56" t="s">
        <v>430</v>
      </c>
      <c r="F397" s="54">
        <v>2002</v>
      </c>
      <c r="G397" s="54" t="s">
        <v>439</v>
      </c>
      <c r="H397" s="54" t="s">
        <v>159</v>
      </c>
      <c r="I397" s="54"/>
      <c r="J397" s="54" t="s">
        <v>1051</v>
      </c>
      <c r="K397" s="54" t="s">
        <v>1160</v>
      </c>
      <c r="L397" s="54" t="s">
        <v>435</v>
      </c>
      <c r="M397" s="54" t="s">
        <v>440</v>
      </c>
      <c r="N397" s="54" t="s">
        <v>441</v>
      </c>
      <c r="O397" s="54" t="s">
        <v>442</v>
      </c>
      <c r="P397" s="54"/>
      <c r="Q397" s="54"/>
      <c r="R397" s="54"/>
      <c r="S397" s="54"/>
      <c r="T397" s="54"/>
      <c r="U397" s="54"/>
      <c r="V397" s="54"/>
      <c r="W397" s="54"/>
      <c r="X397" s="58" t="str">
        <f t="shared" si="23"/>
        <v/>
      </c>
      <c r="Y397" s="72">
        <v>1454</v>
      </c>
      <c r="Z397" s="63" t="str">
        <f t="shared" si="24"/>
        <v/>
      </c>
    </row>
    <row r="398" spans="1:38">
      <c r="A398" s="53">
        <v>121</v>
      </c>
      <c r="B398" s="65" t="s">
        <v>427</v>
      </c>
      <c r="C398" s="65">
        <v>2002</v>
      </c>
      <c r="D398" s="65" t="s">
        <v>428</v>
      </c>
      <c r="E398" s="56" t="s">
        <v>430</v>
      </c>
      <c r="F398" s="54">
        <v>2002</v>
      </c>
      <c r="G398" s="54" t="s">
        <v>443</v>
      </c>
      <c r="H398" s="54" t="s">
        <v>159</v>
      </c>
      <c r="I398" s="54"/>
      <c r="J398" s="54" t="s">
        <v>1051</v>
      </c>
      <c r="K398" s="54" t="s">
        <v>1160</v>
      </c>
      <c r="L398" s="54" t="s">
        <v>435</v>
      </c>
      <c r="M398" s="59" t="s">
        <v>444</v>
      </c>
      <c r="N398" s="54" t="s">
        <v>445</v>
      </c>
      <c r="O398" s="54" t="s">
        <v>446</v>
      </c>
      <c r="P398" s="54"/>
      <c r="Q398" s="54"/>
      <c r="R398" s="54"/>
      <c r="S398" s="54"/>
      <c r="T398" s="54"/>
      <c r="U398" s="54"/>
      <c r="V398" s="54"/>
      <c r="W398" s="54"/>
      <c r="X398" s="58" t="str">
        <f t="shared" si="23"/>
        <v/>
      </c>
      <c r="Y398" s="72">
        <v>1460</v>
      </c>
      <c r="Z398" s="63" t="str">
        <f t="shared" si="24"/>
        <v/>
      </c>
    </row>
    <row r="399" spans="1:38" s="107" customFormat="1">
      <c r="A399" s="97">
        <v>181</v>
      </c>
      <c r="B399" s="98" t="s">
        <v>766</v>
      </c>
      <c r="C399" s="98">
        <v>2009</v>
      </c>
      <c r="D399" s="112" t="s">
        <v>767</v>
      </c>
      <c r="E399" s="113" t="s">
        <v>49</v>
      </c>
      <c r="F399" s="114" t="s">
        <v>788</v>
      </c>
      <c r="G399" s="98" t="s">
        <v>789</v>
      </c>
      <c r="H399" s="115" t="s">
        <v>790</v>
      </c>
      <c r="I399" s="115"/>
      <c r="J399" s="115" t="s">
        <v>1146</v>
      </c>
      <c r="K399" s="115" t="s">
        <v>1152</v>
      </c>
      <c r="L399" s="114" t="s">
        <v>791</v>
      </c>
      <c r="M399" s="114" t="s">
        <v>414</v>
      </c>
      <c r="N399" s="114"/>
      <c r="O399" s="114" t="s">
        <v>792</v>
      </c>
      <c r="P399" s="114"/>
      <c r="Q399" s="114"/>
      <c r="R399" s="98"/>
      <c r="S399" s="98"/>
      <c r="T399" s="98"/>
      <c r="U399" s="114">
        <v>0.93300000000000005</v>
      </c>
      <c r="V399" s="114"/>
      <c r="W399" s="114"/>
      <c r="X399" s="101">
        <f t="shared" ref="X399:X408" si="25">IF(R399&lt;&gt;0,IF(R399&gt;1,R399/100,R399),IF(U399&lt;&gt;0,IF(U399&gt;1,U399/100,U399),""))</f>
        <v>0.93300000000000005</v>
      </c>
      <c r="Y399" s="222">
        <v>1651.8346919999999</v>
      </c>
      <c r="Z399" s="106" t="str">
        <f t="shared" ref="Z399:Z405" si="26">IF(X399&lt;&gt;"",IF(X399&lt;0.9,"S","F"),"")</f>
        <v>F</v>
      </c>
      <c r="AA399" s="187"/>
      <c r="AB399" s="188" t="s">
        <v>1206</v>
      </c>
      <c r="AC399" s="188" t="s">
        <v>1207</v>
      </c>
      <c r="AD399" s="188" t="s">
        <v>1208</v>
      </c>
      <c r="AE399" s="188" t="s">
        <v>1209</v>
      </c>
      <c r="AF399" s="188" t="s">
        <v>1210</v>
      </c>
      <c r="AG399" s="188" t="s">
        <v>1211</v>
      </c>
      <c r="AH399" s="174"/>
      <c r="AI399" s="174"/>
      <c r="AJ399" s="174"/>
      <c r="AK399" s="174"/>
      <c r="AL399" s="174"/>
    </row>
    <row r="400" spans="1:38" s="107" customFormat="1">
      <c r="A400" s="97">
        <v>181</v>
      </c>
      <c r="B400" s="98" t="s">
        <v>766</v>
      </c>
      <c r="C400" s="98">
        <v>2009</v>
      </c>
      <c r="D400" s="112" t="s">
        <v>767</v>
      </c>
      <c r="E400" s="113" t="s">
        <v>49</v>
      </c>
      <c r="F400" s="114" t="s">
        <v>788</v>
      </c>
      <c r="G400" s="98" t="s">
        <v>789</v>
      </c>
      <c r="H400" s="115" t="s">
        <v>790</v>
      </c>
      <c r="I400" s="115"/>
      <c r="J400" s="115" t="s">
        <v>1146</v>
      </c>
      <c r="K400" s="115" t="s">
        <v>1152</v>
      </c>
      <c r="L400" s="114" t="s">
        <v>791</v>
      </c>
      <c r="M400" s="114" t="s">
        <v>414</v>
      </c>
      <c r="N400" s="114"/>
      <c r="O400" s="114" t="s">
        <v>871</v>
      </c>
      <c r="P400" s="114"/>
      <c r="Q400" s="114"/>
      <c r="R400" s="98"/>
      <c r="S400" s="98"/>
      <c r="T400" s="98"/>
      <c r="U400" s="114">
        <v>0.94799999999999995</v>
      </c>
      <c r="V400" s="114"/>
      <c r="W400" s="114"/>
      <c r="X400" s="101">
        <f t="shared" si="25"/>
        <v>0.94799999999999995</v>
      </c>
      <c r="Y400" s="222">
        <v>1716.402061</v>
      </c>
      <c r="Z400" s="106" t="str">
        <f t="shared" si="26"/>
        <v>F</v>
      </c>
      <c r="AA400" s="307" t="s">
        <v>1359</v>
      </c>
      <c r="AB400" s="307">
        <f>AVERAGE($Y$399:$Y$408)</f>
        <v>1530.6722938</v>
      </c>
      <c r="AC400" s="307">
        <f>MEDIAN($Y$399:$Y$408)</f>
        <v>1579.65</v>
      </c>
      <c r="AD400" s="307">
        <f>MAX($Y$399:$Y$408)</f>
        <v>1749.7046250000001</v>
      </c>
      <c r="AE400" s="307">
        <f>MIN($Y$399:$Y$408)</f>
        <v>1031.7</v>
      </c>
      <c r="AF400" s="307">
        <f>STDEV($Y$399:$Y$408)</f>
        <v>238.49191677815617</v>
      </c>
      <c r="AG400" s="307">
        <f>COUNT($Y$399:$Y$408)</f>
        <v>10</v>
      </c>
      <c r="AH400" s="174"/>
      <c r="AI400" s="174"/>
      <c r="AJ400" s="174"/>
      <c r="AK400" s="174"/>
      <c r="AL400" s="174"/>
    </row>
    <row r="401" spans="1:38" s="107" customFormat="1">
      <c r="A401" s="97">
        <v>181</v>
      </c>
      <c r="B401" s="98" t="s">
        <v>766</v>
      </c>
      <c r="C401" s="98">
        <v>2009</v>
      </c>
      <c r="D401" s="112" t="s">
        <v>767</v>
      </c>
      <c r="E401" s="113" t="s">
        <v>49</v>
      </c>
      <c r="F401" s="114" t="s">
        <v>788</v>
      </c>
      <c r="G401" s="98" t="s">
        <v>838</v>
      </c>
      <c r="H401" s="115" t="s">
        <v>790</v>
      </c>
      <c r="I401" s="115"/>
      <c r="J401" s="115" t="s">
        <v>1146</v>
      </c>
      <c r="K401" s="115" t="s">
        <v>1152</v>
      </c>
      <c r="L401" s="114" t="s">
        <v>791</v>
      </c>
      <c r="M401" s="114" t="s">
        <v>414</v>
      </c>
      <c r="N401" s="114"/>
      <c r="O401" s="114" t="s">
        <v>839</v>
      </c>
      <c r="P401" s="114"/>
      <c r="Q401" s="114"/>
      <c r="R401" s="98"/>
      <c r="S401" s="98"/>
      <c r="T401" s="98"/>
      <c r="U401" s="114">
        <v>0.95</v>
      </c>
      <c r="V401" s="114"/>
      <c r="W401" s="114"/>
      <c r="X401" s="101">
        <f t="shared" si="25"/>
        <v>0.95</v>
      </c>
      <c r="Y401" s="222">
        <v>1704.9815599999999</v>
      </c>
      <c r="Z401" s="106" t="str">
        <f t="shared" si="26"/>
        <v>F</v>
      </c>
      <c r="AA401" s="190" t="s">
        <v>1360</v>
      </c>
      <c r="AB401" s="190">
        <f>AVERAGE($Y$399:$Y$406)</f>
        <v>1637.87786725</v>
      </c>
      <c r="AC401" s="190">
        <f>MEDIAN($Y$399:$Y$406)</f>
        <v>1619.2673460000001</v>
      </c>
      <c r="AD401" s="190">
        <f>MAX($Y$399:$Y$406)</f>
        <v>1749.7046250000001</v>
      </c>
      <c r="AE401" s="190">
        <f>MIN($Y$399:$Y$406)</f>
        <v>1553.8</v>
      </c>
      <c r="AF401" s="190">
        <f>STDEV($Y$399:$Y$406)</f>
        <v>77.774495605599455</v>
      </c>
      <c r="AG401" s="190">
        <f>COUNT($Y$399:$Y$406)</f>
        <v>8</v>
      </c>
      <c r="AH401" s="174"/>
      <c r="AI401" s="174"/>
      <c r="AJ401" s="174"/>
      <c r="AK401" s="174"/>
      <c r="AL401" s="174"/>
    </row>
    <row r="402" spans="1:38" s="107" customFormat="1">
      <c r="A402" s="97">
        <v>118</v>
      </c>
      <c r="B402" s="123" t="s">
        <v>399</v>
      </c>
      <c r="C402" s="98">
        <v>1999</v>
      </c>
      <c r="D402" s="123" t="s">
        <v>400</v>
      </c>
      <c r="E402" s="99" t="s">
        <v>20</v>
      </c>
      <c r="F402" s="98">
        <v>1999</v>
      </c>
      <c r="G402" s="98" t="s">
        <v>326</v>
      </c>
      <c r="H402" s="98" t="s">
        <v>159</v>
      </c>
      <c r="I402" s="98"/>
      <c r="J402" s="115" t="s">
        <v>1146</v>
      </c>
      <c r="K402" s="98" t="s">
        <v>1055</v>
      </c>
      <c r="L402" s="98" t="s">
        <v>404</v>
      </c>
      <c r="M402" s="98"/>
      <c r="N402" s="98"/>
      <c r="O402" s="98">
        <v>12</v>
      </c>
      <c r="P402" s="98"/>
      <c r="Q402" s="98"/>
      <c r="R402" s="98"/>
      <c r="S402" s="98"/>
      <c r="T402" s="98"/>
      <c r="U402" s="98">
        <v>0.96</v>
      </c>
      <c r="V402" s="98"/>
      <c r="W402" s="98"/>
      <c r="X402" s="101">
        <f t="shared" si="25"/>
        <v>0.96</v>
      </c>
      <c r="Y402" s="111">
        <v>1567</v>
      </c>
      <c r="Z402" s="106" t="str">
        <f t="shared" si="26"/>
        <v>F</v>
      </c>
      <c r="AA402" s="190" t="s">
        <v>1361</v>
      </c>
      <c r="AB402" s="190">
        <f>AVERAGE($Y$407:$Y$408)</f>
        <v>1101.8499999999999</v>
      </c>
      <c r="AC402" s="190">
        <f>MEDIAN($Y$407:$Y$408)</f>
        <v>1101.8499999999999</v>
      </c>
      <c r="AD402" s="190">
        <f>MAX($Y$407:$Y$408)</f>
        <v>1172</v>
      </c>
      <c r="AE402" s="190">
        <f>MIN($Y$407:$Y$408)</f>
        <v>1031.7</v>
      </c>
      <c r="AF402" s="190">
        <f>STDEV($Y$407:$Y$408)</f>
        <v>99.207081400472589</v>
      </c>
      <c r="AG402" s="190">
        <f>COUNT($Y$407:$Y$408)</f>
        <v>2</v>
      </c>
      <c r="AH402" s="174"/>
      <c r="AI402" s="174"/>
      <c r="AJ402" s="174"/>
      <c r="AK402" s="174"/>
      <c r="AL402" s="174"/>
    </row>
    <row r="403" spans="1:38" s="107" customFormat="1">
      <c r="A403" s="97">
        <v>118</v>
      </c>
      <c r="B403" s="123" t="s">
        <v>399</v>
      </c>
      <c r="C403" s="98">
        <v>1999</v>
      </c>
      <c r="D403" s="123" t="s">
        <v>400</v>
      </c>
      <c r="E403" s="99" t="s">
        <v>20</v>
      </c>
      <c r="F403" s="98">
        <v>1999</v>
      </c>
      <c r="G403" s="98" t="s">
        <v>326</v>
      </c>
      <c r="H403" s="98" t="s">
        <v>159</v>
      </c>
      <c r="I403" s="98"/>
      <c r="J403" s="115" t="s">
        <v>1146</v>
      </c>
      <c r="K403" s="98" t="s">
        <v>1055</v>
      </c>
      <c r="L403" s="174"/>
      <c r="M403" s="98"/>
      <c r="N403" s="98"/>
      <c r="O403" s="98">
        <v>2</v>
      </c>
      <c r="P403" s="98"/>
      <c r="Q403" s="98"/>
      <c r="R403" s="98"/>
      <c r="S403" s="98"/>
      <c r="T403" s="98"/>
      <c r="U403" s="98">
        <v>0.96</v>
      </c>
      <c r="V403" s="98"/>
      <c r="W403" s="98"/>
      <c r="X403" s="101">
        <f t="shared" si="25"/>
        <v>0.96</v>
      </c>
      <c r="Y403" s="111">
        <v>1572.6</v>
      </c>
      <c r="Z403" s="106" t="str">
        <f t="shared" si="26"/>
        <v>F</v>
      </c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</row>
    <row r="404" spans="1:38" s="107" customFormat="1">
      <c r="A404" s="97">
        <v>181</v>
      </c>
      <c r="B404" s="98" t="s">
        <v>766</v>
      </c>
      <c r="C404" s="98">
        <v>2009</v>
      </c>
      <c r="D404" s="112" t="s">
        <v>767</v>
      </c>
      <c r="E404" s="113" t="s">
        <v>49</v>
      </c>
      <c r="F404" s="114" t="s">
        <v>788</v>
      </c>
      <c r="G404" s="98" t="s">
        <v>853</v>
      </c>
      <c r="H404" s="115" t="s">
        <v>790</v>
      </c>
      <c r="I404" s="115"/>
      <c r="J404" s="115" t="s">
        <v>1146</v>
      </c>
      <c r="K404" s="115" t="s">
        <v>1152</v>
      </c>
      <c r="L404" s="114" t="s">
        <v>791</v>
      </c>
      <c r="M404" s="114" t="s">
        <v>414</v>
      </c>
      <c r="N404" s="114"/>
      <c r="O404" s="114" t="s">
        <v>874</v>
      </c>
      <c r="P404" s="114"/>
      <c r="Q404" s="114"/>
      <c r="R404" s="98"/>
      <c r="S404" s="98"/>
      <c r="T404" s="98"/>
      <c r="U404" s="114">
        <v>0.96199999999999997</v>
      </c>
      <c r="V404" s="114"/>
      <c r="W404" s="114"/>
      <c r="X404" s="101">
        <f t="shared" si="25"/>
        <v>0.96199999999999997</v>
      </c>
      <c r="Y404" s="222">
        <v>1749.7046250000001</v>
      </c>
      <c r="Z404" s="106" t="str">
        <f t="shared" si="26"/>
        <v>F</v>
      </c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174"/>
      <c r="AL404" s="174"/>
    </row>
    <row r="405" spans="1:38" s="107" customFormat="1">
      <c r="A405" s="97">
        <v>118</v>
      </c>
      <c r="B405" s="123" t="s">
        <v>399</v>
      </c>
      <c r="C405" s="98">
        <v>1999</v>
      </c>
      <c r="D405" s="123" t="s">
        <v>400</v>
      </c>
      <c r="E405" s="99" t="s">
        <v>20</v>
      </c>
      <c r="F405" s="98">
        <v>1999</v>
      </c>
      <c r="G405" s="98" t="s">
        <v>326</v>
      </c>
      <c r="H405" s="98" t="s">
        <v>159</v>
      </c>
      <c r="I405" s="98"/>
      <c r="J405" s="115" t="s">
        <v>1146</v>
      </c>
      <c r="K405" s="98" t="s">
        <v>1055</v>
      </c>
      <c r="L405" s="98" t="s">
        <v>404</v>
      </c>
      <c r="M405" s="98"/>
      <c r="N405" s="98"/>
      <c r="O405" s="98">
        <v>11</v>
      </c>
      <c r="P405" s="98"/>
      <c r="Q405" s="98"/>
      <c r="R405" s="98"/>
      <c r="S405" s="98"/>
      <c r="T405" s="98"/>
      <c r="U405" s="98">
        <v>0.97</v>
      </c>
      <c r="V405" s="98"/>
      <c r="W405" s="98"/>
      <c r="X405" s="101">
        <f t="shared" si="25"/>
        <v>0.97</v>
      </c>
      <c r="Y405" s="111">
        <v>1586.7</v>
      </c>
      <c r="Z405" s="106" t="str">
        <f t="shared" si="26"/>
        <v>F</v>
      </c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174"/>
      <c r="AL405" s="174"/>
    </row>
    <row r="406" spans="1:38" s="107" customFormat="1">
      <c r="A406" s="97">
        <v>197</v>
      </c>
      <c r="B406" s="123" t="s">
        <v>875</v>
      </c>
      <c r="C406" s="98">
        <v>2007</v>
      </c>
      <c r="D406" s="123" t="s">
        <v>928</v>
      </c>
      <c r="E406" s="99" t="s">
        <v>20</v>
      </c>
      <c r="F406" s="98">
        <v>2003</v>
      </c>
      <c r="G406" s="98" t="s">
        <v>326</v>
      </c>
      <c r="H406" s="98" t="s">
        <v>159</v>
      </c>
      <c r="I406" s="98"/>
      <c r="J406" s="115" t="s">
        <v>1146</v>
      </c>
      <c r="K406" s="98" t="s">
        <v>1055</v>
      </c>
      <c r="L406" s="98" t="s">
        <v>755</v>
      </c>
      <c r="M406" s="98"/>
      <c r="N406" s="98"/>
      <c r="O406" s="98" t="s">
        <v>937</v>
      </c>
      <c r="P406" s="98"/>
      <c r="Q406" s="98"/>
      <c r="R406" s="98"/>
      <c r="S406" s="98"/>
      <c r="T406" s="98"/>
      <c r="U406" s="98"/>
      <c r="V406" s="98">
        <v>1553.8</v>
      </c>
      <c r="W406" s="98"/>
      <c r="X406" s="101" t="str">
        <f t="shared" si="25"/>
        <v/>
      </c>
      <c r="Y406" s="111">
        <f>+V406</f>
        <v>1553.8</v>
      </c>
      <c r="Z406" s="106" t="s">
        <v>1192</v>
      </c>
      <c r="AA406" s="174"/>
      <c r="AB406" s="174"/>
      <c r="AC406" s="174"/>
      <c r="AD406" s="174"/>
      <c r="AE406" s="174"/>
      <c r="AF406" s="174"/>
      <c r="AG406" s="174"/>
      <c r="AH406" s="174"/>
      <c r="AI406" s="174"/>
      <c r="AJ406" s="174"/>
      <c r="AK406" s="174"/>
      <c r="AL406" s="174"/>
    </row>
    <row r="407" spans="1:38" s="107" customFormat="1">
      <c r="A407" s="97">
        <v>174</v>
      </c>
      <c r="B407" s="98" t="s">
        <v>697</v>
      </c>
      <c r="C407" s="98">
        <v>2009</v>
      </c>
      <c r="D407" s="108" t="s">
        <v>698</v>
      </c>
      <c r="E407" s="99" t="s">
        <v>20</v>
      </c>
      <c r="F407" s="100" t="s">
        <v>701</v>
      </c>
      <c r="G407" s="98" t="s">
        <v>705</v>
      </c>
      <c r="H407" s="98" t="s">
        <v>159</v>
      </c>
      <c r="I407" s="98"/>
      <c r="J407" s="98" t="s">
        <v>1146</v>
      </c>
      <c r="K407" s="98" t="s">
        <v>1055</v>
      </c>
      <c r="L407" s="98" t="s">
        <v>755</v>
      </c>
      <c r="M407" s="109"/>
      <c r="N407" s="109"/>
      <c r="O407" s="98" t="s">
        <v>755</v>
      </c>
      <c r="P407" s="103"/>
      <c r="Q407" s="103"/>
      <c r="R407" s="98"/>
      <c r="S407" s="98"/>
      <c r="T407" s="98"/>
      <c r="U407" s="104">
        <v>0.86299999999999999</v>
      </c>
      <c r="V407" s="175"/>
      <c r="W407" s="175"/>
      <c r="X407" s="101">
        <f t="shared" si="25"/>
        <v>0.86299999999999999</v>
      </c>
      <c r="Y407" s="221">
        <v>1172</v>
      </c>
      <c r="Z407" s="106" t="str">
        <f>IF(X407&lt;&gt;"",IF(X407&lt;0.9,"S","F"),"")</f>
        <v>S</v>
      </c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</row>
    <row r="408" spans="1:38" s="107" customFormat="1">
      <c r="A408" s="97">
        <v>197</v>
      </c>
      <c r="B408" s="123" t="s">
        <v>875</v>
      </c>
      <c r="C408" s="98">
        <v>2007</v>
      </c>
      <c r="D408" s="123" t="s">
        <v>928</v>
      </c>
      <c r="E408" s="99" t="s">
        <v>20</v>
      </c>
      <c r="F408" s="98">
        <v>2003</v>
      </c>
      <c r="G408" s="98" t="s">
        <v>326</v>
      </c>
      <c r="H408" s="98" t="s">
        <v>159</v>
      </c>
      <c r="I408" s="98"/>
      <c r="J408" s="115" t="s">
        <v>1146</v>
      </c>
      <c r="K408" s="98" t="s">
        <v>1055</v>
      </c>
      <c r="L408" s="98" t="s">
        <v>755</v>
      </c>
      <c r="M408" s="98"/>
      <c r="N408" s="98"/>
      <c r="O408" s="98" t="s">
        <v>937</v>
      </c>
      <c r="P408" s="98"/>
      <c r="Q408" s="98"/>
      <c r="R408" s="98"/>
      <c r="S408" s="98"/>
      <c r="T408" s="98"/>
      <c r="U408" s="98"/>
      <c r="V408" s="98"/>
      <c r="W408" s="98">
        <v>1031.7</v>
      </c>
      <c r="X408" s="101" t="str">
        <f t="shared" si="25"/>
        <v/>
      </c>
      <c r="Y408" s="111">
        <f>+W408</f>
        <v>1031.7</v>
      </c>
      <c r="Z408" s="106" t="s">
        <v>1193</v>
      </c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  <c r="AL408" s="174"/>
    </row>
    <row r="409" spans="1:38">
      <c r="A409" s="53">
        <v>121</v>
      </c>
      <c r="B409" s="65" t="s">
        <v>427</v>
      </c>
      <c r="C409" s="65">
        <v>2002</v>
      </c>
      <c r="D409" s="65" t="s">
        <v>428</v>
      </c>
      <c r="E409" s="56" t="s">
        <v>430</v>
      </c>
      <c r="F409" s="54">
        <v>2002</v>
      </c>
      <c r="G409" s="54" t="s">
        <v>452</v>
      </c>
      <c r="H409" s="54" t="s">
        <v>159</v>
      </c>
      <c r="I409" s="54"/>
      <c r="J409" s="54" t="s">
        <v>1062</v>
      </c>
      <c r="K409" s="54" t="s">
        <v>1141</v>
      </c>
      <c r="L409" s="54" t="s">
        <v>453</v>
      </c>
      <c r="M409" s="54" t="s">
        <v>454</v>
      </c>
      <c r="N409" s="59" t="s">
        <v>455</v>
      </c>
      <c r="O409" s="54" t="s">
        <v>456</v>
      </c>
      <c r="P409" s="54"/>
      <c r="Q409" s="54"/>
      <c r="R409" s="54"/>
      <c r="S409" s="54"/>
      <c r="T409" s="54"/>
      <c r="U409" s="54"/>
      <c r="V409" s="54"/>
      <c r="W409" s="54"/>
      <c r="X409" s="58" t="str">
        <f t="shared" si="23"/>
        <v/>
      </c>
      <c r="Y409" s="72">
        <v>1469</v>
      </c>
      <c r="Z409" s="63" t="str">
        <f t="shared" si="24"/>
        <v/>
      </c>
    </row>
    <row r="410" spans="1:38">
      <c r="A410" s="53">
        <v>173</v>
      </c>
      <c r="B410" s="54" t="s">
        <v>585</v>
      </c>
      <c r="C410" s="54">
        <v>2011</v>
      </c>
      <c r="D410" s="55" t="s">
        <v>636</v>
      </c>
      <c r="E410" s="56" t="s">
        <v>638</v>
      </c>
      <c r="F410" s="57" t="s">
        <v>677</v>
      </c>
      <c r="G410" s="54" t="s">
        <v>678</v>
      </c>
      <c r="H410" s="54" t="s">
        <v>581</v>
      </c>
      <c r="I410" s="54"/>
      <c r="J410" s="58" t="s">
        <v>1062</v>
      </c>
      <c r="K410" s="54" t="s">
        <v>1078</v>
      </c>
      <c r="L410" s="54" t="s">
        <v>679</v>
      </c>
      <c r="M410" s="59"/>
      <c r="N410" s="59"/>
      <c r="O410" s="54" t="s">
        <v>680</v>
      </c>
      <c r="P410" s="60"/>
      <c r="Q410" s="60"/>
      <c r="R410" s="54"/>
      <c r="S410" s="54"/>
      <c r="T410" s="54"/>
      <c r="U410" s="61">
        <v>0.94</v>
      </c>
      <c r="V410" s="167"/>
      <c r="W410" s="167"/>
      <c r="X410" s="58">
        <f t="shared" si="23"/>
        <v>0.94</v>
      </c>
      <c r="Y410" s="219">
        <v>1681</v>
      </c>
      <c r="Z410" s="63" t="str">
        <f t="shared" si="24"/>
        <v>F</v>
      </c>
      <c r="AA410" s="183"/>
      <c r="AB410" s="184" t="s">
        <v>1206</v>
      </c>
      <c r="AC410" s="184" t="s">
        <v>1207</v>
      </c>
      <c r="AD410" s="184" t="s">
        <v>1208</v>
      </c>
      <c r="AE410" s="184" t="s">
        <v>1209</v>
      </c>
      <c r="AF410" s="184" t="s">
        <v>1210</v>
      </c>
      <c r="AG410" s="184" t="s">
        <v>1211</v>
      </c>
    </row>
    <row r="411" spans="1:38">
      <c r="A411" s="53">
        <v>172</v>
      </c>
      <c r="B411" s="54" t="s">
        <v>585</v>
      </c>
      <c r="C411" s="54">
        <v>2010</v>
      </c>
      <c r="D411" s="54" t="s">
        <v>586</v>
      </c>
      <c r="E411" s="56" t="s">
        <v>589</v>
      </c>
      <c r="F411" s="57">
        <v>40225</v>
      </c>
      <c r="G411" s="54" t="s">
        <v>608</v>
      </c>
      <c r="H411" s="54" t="s">
        <v>581</v>
      </c>
      <c r="I411" s="54"/>
      <c r="J411" s="66" t="s">
        <v>1062</v>
      </c>
      <c r="K411" s="54" t="s">
        <v>1064</v>
      </c>
      <c r="L411" s="54" t="s">
        <v>611</v>
      </c>
      <c r="M411" s="88" t="s">
        <v>612</v>
      </c>
      <c r="N411" s="88" t="s">
        <v>613</v>
      </c>
      <c r="O411" s="54"/>
      <c r="P411" s="60"/>
      <c r="Q411" s="60"/>
      <c r="R411" s="54"/>
      <c r="S411" s="54"/>
      <c r="T411" s="54"/>
      <c r="U411" s="60">
        <v>0.97099999999999997</v>
      </c>
      <c r="V411" s="60"/>
      <c r="W411" s="60"/>
      <c r="X411" s="58">
        <f t="shared" si="23"/>
        <v>0.97099999999999997</v>
      </c>
      <c r="Y411" s="225">
        <v>1733</v>
      </c>
      <c r="Z411" s="63" t="str">
        <f t="shared" si="24"/>
        <v>F</v>
      </c>
      <c r="AA411" s="186" t="s">
        <v>1362</v>
      </c>
      <c r="AB411" s="186">
        <f>AVERAGE($Y$409:$Y$438)</f>
        <v>1577.3309845666668</v>
      </c>
      <c r="AC411" s="186">
        <f>MEDIAN($Y$409:$Y$438)</f>
        <v>1564.5</v>
      </c>
      <c r="AD411" s="186">
        <f>MAX($Y$409:$Y$438)</f>
        <v>1786</v>
      </c>
      <c r="AE411" s="186">
        <f>MIN($Y$409:$Y$438)</f>
        <v>1098</v>
      </c>
      <c r="AF411" s="186">
        <f>STDEV($Y$409:$Y$438)</f>
        <v>141.1063290323433</v>
      </c>
      <c r="AG411" s="186">
        <f>COUNT($Y$409:$Y$438)</f>
        <v>30</v>
      </c>
    </row>
    <row r="412" spans="1:38">
      <c r="A412" s="53">
        <v>181</v>
      </c>
      <c r="B412" s="54" t="s">
        <v>766</v>
      </c>
      <c r="C412" s="54">
        <v>2009</v>
      </c>
      <c r="D412" s="83" t="s">
        <v>767</v>
      </c>
      <c r="E412" s="84" t="s">
        <v>49</v>
      </c>
      <c r="F412" s="85" t="s">
        <v>788</v>
      </c>
      <c r="G412" s="54" t="s">
        <v>853</v>
      </c>
      <c r="H412" s="74" t="s">
        <v>790</v>
      </c>
      <c r="I412" s="74"/>
      <c r="J412" s="74" t="s">
        <v>1062</v>
      </c>
      <c r="K412" s="74" t="s">
        <v>1064</v>
      </c>
      <c r="L412" s="85" t="s">
        <v>782</v>
      </c>
      <c r="M412" s="85" t="s">
        <v>611</v>
      </c>
      <c r="N412" s="85"/>
      <c r="O412" s="85" t="s">
        <v>854</v>
      </c>
      <c r="P412" s="85"/>
      <c r="Q412" s="85"/>
      <c r="R412" s="54"/>
      <c r="S412" s="54"/>
      <c r="T412" s="54"/>
      <c r="U412" s="85">
        <v>0.95299999999999996</v>
      </c>
      <c r="V412" s="85"/>
      <c r="W412" s="85"/>
      <c r="X412" s="58">
        <f t="shared" si="23"/>
        <v>0.95299999999999996</v>
      </c>
      <c r="Y412" s="226">
        <v>1716.621425</v>
      </c>
      <c r="Z412" s="63" t="str">
        <f t="shared" si="24"/>
        <v>F</v>
      </c>
      <c r="AA412" s="186" t="s">
        <v>1308</v>
      </c>
      <c r="AB412" s="186">
        <f>AVERAGE($Y$410:$Y$421)</f>
        <v>1710.9107947499999</v>
      </c>
      <c r="AC412" s="186">
        <f>MEDIAN($Y$410:$Y$421)</f>
        <v>1713.3107125000001</v>
      </c>
      <c r="AD412" s="186">
        <f>MAX($Y$410:$Y$421)</f>
        <v>1786</v>
      </c>
      <c r="AE412" s="186">
        <f>MIN($Y$410:$Y$421)</f>
        <v>1668</v>
      </c>
      <c r="AF412" s="186">
        <f>STDEV($Y$410:$Y$421)</f>
        <v>34.018660404809971</v>
      </c>
      <c r="AG412" s="186">
        <f>COUNT($Y$410:$Y$421)</f>
        <v>12</v>
      </c>
    </row>
    <row r="413" spans="1:38">
      <c r="A413" s="53">
        <v>172</v>
      </c>
      <c r="B413" s="54" t="s">
        <v>585</v>
      </c>
      <c r="C413" s="54">
        <v>2010</v>
      </c>
      <c r="D413" s="54" t="s">
        <v>586</v>
      </c>
      <c r="E413" s="56" t="s">
        <v>589</v>
      </c>
      <c r="F413" s="57">
        <v>40226</v>
      </c>
      <c r="G413" s="54" t="s">
        <v>608</v>
      </c>
      <c r="H413" s="54" t="s">
        <v>581</v>
      </c>
      <c r="I413" s="54"/>
      <c r="J413" s="66" t="s">
        <v>1062</v>
      </c>
      <c r="K413" s="54" t="s">
        <v>1063</v>
      </c>
      <c r="L413" s="54" t="s">
        <v>614</v>
      </c>
      <c r="M413" s="88" t="s">
        <v>612</v>
      </c>
      <c r="N413" s="88" t="s">
        <v>615</v>
      </c>
      <c r="O413" s="54"/>
      <c r="P413" s="60"/>
      <c r="Q413" s="60"/>
      <c r="R413" s="54"/>
      <c r="S413" s="54"/>
      <c r="T413" s="54"/>
      <c r="U413" s="60">
        <v>0.96499999999999997</v>
      </c>
      <c r="V413" s="60"/>
      <c r="W413" s="60"/>
      <c r="X413" s="58">
        <f t="shared" si="23"/>
        <v>0.96499999999999997</v>
      </c>
      <c r="Y413" s="225">
        <v>1786</v>
      </c>
      <c r="Z413" s="63" t="str">
        <f t="shared" si="24"/>
        <v>F</v>
      </c>
      <c r="AA413" s="186" t="s">
        <v>1309</v>
      </c>
      <c r="AB413" s="186">
        <f>AVERAGE($Y$422:$Y$438)</f>
        <v>1489.4117647058824</v>
      </c>
      <c r="AC413" s="186">
        <f>MEDIAN($Y$422:$Y$438)</f>
        <v>1489</v>
      </c>
      <c r="AD413" s="186">
        <f>MAX($Y$422:$Y$438)</f>
        <v>1627</v>
      </c>
      <c r="AE413" s="186">
        <f>MIN($Y$422:$Y$438)</f>
        <v>1098</v>
      </c>
      <c r="AF413" s="186">
        <f>STDEV($Y$422:$Y$438)</f>
        <v>113.85959490943738</v>
      </c>
      <c r="AG413" s="186">
        <f>COUNT($Y$422:$Y$438)</f>
        <v>17</v>
      </c>
    </row>
    <row r="414" spans="1:38">
      <c r="A414" s="53">
        <v>181</v>
      </c>
      <c r="B414" s="54" t="s">
        <v>766</v>
      </c>
      <c r="C414" s="54">
        <v>2009</v>
      </c>
      <c r="D414" s="83" t="s">
        <v>767</v>
      </c>
      <c r="E414" s="84" t="s">
        <v>49</v>
      </c>
      <c r="F414" s="85" t="s">
        <v>841</v>
      </c>
      <c r="G414" s="54" t="s">
        <v>842</v>
      </c>
      <c r="H414" s="74" t="s">
        <v>790</v>
      </c>
      <c r="I414" s="74"/>
      <c r="J414" s="74" t="s">
        <v>1062</v>
      </c>
      <c r="K414" s="74" t="s">
        <v>1063</v>
      </c>
      <c r="L414" s="85" t="s">
        <v>782</v>
      </c>
      <c r="M414" s="85" t="s">
        <v>855</v>
      </c>
      <c r="N414" s="85"/>
      <c r="O414" s="85" t="s">
        <v>856</v>
      </c>
      <c r="P414" s="85"/>
      <c r="Q414" s="85"/>
      <c r="R414" s="54"/>
      <c r="S414" s="54"/>
      <c r="T414" s="54"/>
      <c r="U414" s="85">
        <v>0.93600000000000005</v>
      </c>
      <c r="V414" s="85"/>
      <c r="W414" s="85"/>
      <c r="X414" s="58">
        <f t="shared" si="23"/>
        <v>0.93600000000000005</v>
      </c>
      <c r="Y414" s="226">
        <v>1684.3081119999999</v>
      </c>
      <c r="Z414" s="63" t="str">
        <f t="shared" si="24"/>
        <v>F</v>
      </c>
    </row>
    <row r="415" spans="1:38" s="45" customFormat="1">
      <c r="A415" s="53"/>
      <c r="B415" s="290" t="s">
        <v>1276</v>
      </c>
      <c r="C415" s="291">
        <v>1989</v>
      </c>
      <c r="D415" s="66"/>
      <c r="E415" s="60" t="s">
        <v>49</v>
      </c>
      <c r="F415" s="85"/>
      <c r="G415" s="54"/>
      <c r="H415" s="74"/>
      <c r="I415" s="74"/>
      <c r="J415" s="257" t="s">
        <v>1062</v>
      </c>
      <c r="K415" s="257" t="s">
        <v>1283</v>
      </c>
      <c r="L415" s="54"/>
      <c r="M415" s="88"/>
      <c r="N415" s="88"/>
      <c r="O415" s="45" t="s">
        <v>1284</v>
      </c>
      <c r="P415" s="60"/>
      <c r="Q415" s="60"/>
      <c r="R415" s="45">
        <v>0.94299999999999995</v>
      </c>
      <c r="S415" s="54"/>
      <c r="T415" s="54"/>
      <c r="U415" s="85"/>
      <c r="V415" s="85"/>
      <c r="W415" s="85"/>
      <c r="X415" s="66">
        <f t="shared" si="23"/>
        <v>0.94299999999999995</v>
      </c>
      <c r="Y415" s="45">
        <v>1730</v>
      </c>
      <c r="Z415" s="192" t="str">
        <f t="shared" si="24"/>
        <v>F</v>
      </c>
      <c r="AA415" s="172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</row>
    <row r="416" spans="1:38" s="45" customFormat="1">
      <c r="A416" s="53"/>
      <c r="B416" s="290" t="s">
        <v>1276</v>
      </c>
      <c r="C416" s="291">
        <v>1989</v>
      </c>
      <c r="D416" s="66"/>
      <c r="E416" s="60" t="s">
        <v>49</v>
      </c>
      <c r="F416" s="85"/>
      <c r="G416" s="54"/>
      <c r="H416" s="74"/>
      <c r="I416" s="74"/>
      <c r="J416" s="257" t="s">
        <v>1062</v>
      </c>
      <c r="K416" s="257" t="s">
        <v>1283</v>
      </c>
      <c r="L416" s="54"/>
      <c r="M416" s="88"/>
      <c r="N416" s="88"/>
      <c r="O416" s="45" t="s">
        <v>1285</v>
      </c>
      <c r="P416" s="60"/>
      <c r="Q416" s="60"/>
      <c r="R416" s="45">
        <v>0.90900000000000003</v>
      </c>
      <c r="S416" s="54"/>
      <c r="T416" s="54"/>
      <c r="U416" s="85"/>
      <c r="V416" s="85"/>
      <c r="W416" s="85"/>
      <c r="X416" s="66">
        <f t="shared" si="23"/>
        <v>0.90900000000000003</v>
      </c>
      <c r="Y416" s="45">
        <v>1668</v>
      </c>
      <c r="Z416" s="192" t="str">
        <f t="shared" si="24"/>
        <v>F</v>
      </c>
      <c r="AA416" s="172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</row>
    <row r="417" spans="1:38" s="45" customFormat="1">
      <c r="A417" s="53"/>
      <c r="B417" s="290" t="s">
        <v>1276</v>
      </c>
      <c r="C417" s="291">
        <v>1989</v>
      </c>
      <c r="D417" s="66"/>
      <c r="E417" s="60" t="s">
        <v>49</v>
      </c>
      <c r="F417" s="85"/>
      <c r="G417" s="54"/>
      <c r="H417" s="74"/>
      <c r="I417" s="74"/>
      <c r="J417" s="257" t="s">
        <v>1062</v>
      </c>
      <c r="K417" s="257" t="s">
        <v>1283</v>
      </c>
      <c r="L417" s="54"/>
      <c r="M417" s="88"/>
      <c r="N417" s="88"/>
      <c r="O417" s="45" t="s">
        <v>1286</v>
      </c>
      <c r="P417" s="60"/>
      <c r="Q417" s="60"/>
      <c r="R417" s="45">
        <v>0.94599999999999995</v>
      </c>
      <c r="S417" s="54"/>
      <c r="T417" s="54"/>
      <c r="U417" s="85"/>
      <c r="V417" s="85"/>
      <c r="W417" s="85"/>
      <c r="X417" s="66">
        <f t="shared" si="23"/>
        <v>0.94599999999999995</v>
      </c>
      <c r="Y417" s="45">
        <v>1736</v>
      </c>
      <c r="Z417" s="192" t="str">
        <f t="shared" si="24"/>
        <v>F</v>
      </c>
      <c r="AA417" s="172"/>
      <c r="AB417" s="172"/>
      <c r="AC417" s="172"/>
      <c r="AD417" s="172"/>
      <c r="AE417" s="172"/>
      <c r="AF417" s="172"/>
      <c r="AG417" s="172"/>
      <c r="AH417" s="172"/>
      <c r="AI417" s="172"/>
      <c r="AJ417" s="172"/>
      <c r="AK417" s="172"/>
      <c r="AL417" s="172"/>
    </row>
    <row r="418" spans="1:38" s="45" customFormat="1">
      <c r="A418" s="53"/>
      <c r="B418" s="290" t="s">
        <v>1276</v>
      </c>
      <c r="C418" s="291">
        <v>1989</v>
      </c>
      <c r="D418" s="66"/>
      <c r="E418" s="60" t="s">
        <v>49</v>
      </c>
      <c r="F418" s="85"/>
      <c r="G418" s="54"/>
      <c r="H418" s="74"/>
      <c r="I418" s="74"/>
      <c r="J418" s="257" t="s">
        <v>1062</v>
      </c>
      <c r="K418" s="257" t="s">
        <v>1283</v>
      </c>
      <c r="L418" s="54"/>
      <c r="M418" s="88"/>
      <c r="N418" s="88"/>
      <c r="O418" s="45" t="s">
        <v>1287</v>
      </c>
      <c r="P418" s="60"/>
      <c r="Q418" s="60"/>
      <c r="R418" s="45">
        <v>0.94</v>
      </c>
      <c r="S418" s="54"/>
      <c r="T418" s="54"/>
      <c r="U418" s="85"/>
      <c r="V418" s="85"/>
      <c r="W418" s="85"/>
      <c r="X418" s="66">
        <f t="shared" si="23"/>
        <v>0.94</v>
      </c>
      <c r="Y418" s="45">
        <v>1725</v>
      </c>
      <c r="Z418" s="192" t="str">
        <f t="shared" si="24"/>
        <v>F</v>
      </c>
      <c r="AA418" s="172"/>
      <c r="AB418" s="172"/>
      <c r="AC418" s="172"/>
      <c r="AD418" s="172"/>
      <c r="AE418" s="172"/>
      <c r="AF418" s="172"/>
      <c r="AG418" s="172"/>
      <c r="AH418" s="172"/>
      <c r="AI418" s="172"/>
      <c r="AJ418" s="172"/>
      <c r="AK418" s="172"/>
      <c r="AL418" s="172"/>
    </row>
    <row r="419" spans="1:38" s="45" customFormat="1">
      <c r="A419" s="53"/>
      <c r="B419" s="290" t="s">
        <v>1276</v>
      </c>
      <c r="C419" s="291">
        <v>1989</v>
      </c>
      <c r="D419" s="66"/>
      <c r="E419" s="60" t="s">
        <v>49</v>
      </c>
      <c r="F419" s="85"/>
      <c r="G419" s="54"/>
      <c r="H419" s="74"/>
      <c r="I419" s="74"/>
      <c r="J419" s="257" t="s">
        <v>1062</v>
      </c>
      <c r="K419" s="257" t="s">
        <v>1283</v>
      </c>
      <c r="L419" s="54"/>
      <c r="M419" s="88"/>
      <c r="N419" s="88"/>
      <c r="O419" s="45" t="s">
        <v>1288</v>
      </c>
      <c r="P419" s="60"/>
      <c r="Q419" s="60"/>
      <c r="R419" s="45">
        <v>0.91200000000000003</v>
      </c>
      <c r="S419" s="54"/>
      <c r="T419" s="54"/>
      <c r="U419" s="85"/>
      <c r="V419" s="85"/>
      <c r="W419" s="85"/>
      <c r="X419" s="66">
        <f t="shared" si="23"/>
        <v>0.91200000000000003</v>
      </c>
      <c r="Y419" s="45">
        <v>1674</v>
      </c>
      <c r="Z419" s="192" t="str">
        <f t="shared" si="24"/>
        <v>F</v>
      </c>
      <c r="AA419" s="172"/>
      <c r="AB419" s="172"/>
      <c r="AC419" s="172"/>
      <c r="AD419" s="172"/>
      <c r="AE419" s="172"/>
      <c r="AF419" s="172"/>
      <c r="AG419" s="172"/>
      <c r="AH419" s="172"/>
      <c r="AI419" s="172"/>
      <c r="AJ419" s="172"/>
      <c r="AK419" s="172"/>
      <c r="AL419" s="172"/>
    </row>
    <row r="420" spans="1:38" s="45" customFormat="1">
      <c r="A420" s="53"/>
      <c r="B420" s="290" t="s">
        <v>1276</v>
      </c>
      <c r="C420" s="291">
        <v>1989</v>
      </c>
      <c r="D420" s="66"/>
      <c r="E420" s="60" t="s">
        <v>49</v>
      </c>
      <c r="F420" s="85"/>
      <c r="G420" s="54"/>
      <c r="H420" s="74"/>
      <c r="I420" s="74"/>
      <c r="J420" s="257" t="s">
        <v>1062</v>
      </c>
      <c r="K420" s="257" t="s">
        <v>1283</v>
      </c>
      <c r="L420" s="54"/>
      <c r="M420" s="88"/>
      <c r="N420" s="88"/>
      <c r="O420" s="45" t="s">
        <v>1290</v>
      </c>
      <c r="P420" s="60"/>
      <c r="Q420" s="60"/>
      <c r="R420" s="45">
        <v>0.91900000000000004</v>
      </c>
      <c r="S420" s="54"/>
      <c r="T420" s="54"/>
      <c r="U420" s="85"/>
      <c r="V420" s="85"/>
      <c r="W420" s="85"/>
      <c r="X420" s="66">
        <f t="shared" si="23"/>
        <v>0.91900000000000004</v>
      </c>
      <c r="Y420" s="45">
        <v>1687</v>
      </c>
      <c r="Z420" s="192" t="str">
        <f t="shared" si="24"/>
        <v>F</v>
      </c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</row>
    <row r="421" spans="1:38" s="45" customFormat="1">
      <c r="A421" s="53"/>
      <c r="B421" s="290" t="s">
        <v>1276</v>
      </c>
      <c r="C421" s="291">
        <v>1989</v>
      </c>
      <c r="D421" s="66"/>
      <c r="E421" s="60" t="s">
        <v>49</v>
      </c>
      <c r="F421" s="85"/>
      <c r="G421" s="54"/>
      <c r="H421" s="74"/>
      <c r="I421" s="74"/>
      <c r="J421" s="257" t="s">
        <v>1062</v>
      </c>
      <c r="K421" s="257" t="s">
        <v>1283</v>
      </c>
      <c r="L421" s="54"/>
      <c r="M421" s="88"/>
      <c r="N421" s="88"/>
      <c r="O421" s="45" t="s">
        <v>1291</v>
      </c>
      <c r="P421" s="60"/>
      <c r="Q421" s="60"/>
      <c r="R421" s="45">
        <v>0.93200000000000005</v>
      </c>
      <c r="S421" s="54"/>
      <c r="T421" s="54"/>
      <c r="U421" s="85"/>
      <c r="V421" s="85"/>
      <c r="W421" s="85"/>
      <c r="X421" s="66">
        <f t="shared" si="23"/>
        <v>0.93200000000000005</v>
      </c>
      <c r="Y421" s="45">
        <v>1710</v>
      </c>
      <c r="Z421" s="192" t="str">
        <f t="shared" si="24"/>
        <v>F</v>
      </c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</row>
    <row r="422" spans="1:38" s="45" customFormat="1">
      <c r="A422" s="53"/>
      <c r="B422" s="290" t="s">
        <v>1276</v>
      </c>
      <c r="C422" s="291">
        <v>1989</v>
      </c>
      <c r="D422" s="66"/>
      <c r="E422" s="60" t="s">
        <v>49</v>
      </c>
      <c r="F422" s="85"/>
      <c r="G422" s="54"/>
      <c r="H422" s="74"/>
      <c r="I422" s="74"/>
      <c r="J422" s="257" t="s">
        <v>1062</v>
      </c>
      <c r="K422" s="257" t="s">
        <v>1283</v>
      </c>
      <c r="L422" s="54"/>
      <c r="M422" s="88"/>
      <c r="N422" s="88"/>
      <c r="O422" s="45" t="s">
        <v>1289</v>
      </c>
      <c r="P422" s="60"/>
      <c r="Q422" s="60"/>
      <c r="R422" s="45">
        <v>0.88700000000000001</v>
      </c>
      <c r="S422" s="54"/>
      <c r="T422" s="54"/>
      <c r="U422" s="85"/>
      <c r="V422" s="85"/>
      <c r="W422" s="85"/>
      <c r="X422" s="66">
        <f>IF(R422&lt;&gt;0,IF(R422&gt;1,R422/100,R422),IF(U422&lt;&gt;0,IF(U422&gt;1,U422/100,U422),""))</f>
        <v>0.88700000000000001</v>
      </c>
      <c r="Y422" s="45">
        <v>1627</v>
      </c>
      <c r="Z422" s="192" t="str">
        <f>IF(X422&lt;&gt;"",IF(X422&lt;0.9,"S","F"),"")</f>
        <v>S</v>
      </c>
      <c r="AA422" s="172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</row>
    <row r="423" spans="1:38" s="45" customFormat="1">
      <c r="A423" s="53"/>
      <c r="B423" s="290" t="s">
        <v>1276</v>
      </c>
      <c r="C423" s="291">
        <v>1989</v>
      </c>
      <c r="D423" s="66"/>
      <c r="E423" s="60" t="s">
        <v>49</v>
      </c>
      <c r="F423" s="85"/>
      <c r="G423" s="54"/>
      <c r="H423" s="74"/>
      <c r="I423" s="74"/>
      <c r="J423" s="257" t="s">
        <v>1062</v>
      </c>
      <c r="K423" s="257" t="s">
        <v>1283</v>
      </c>
      <c r="L423" s="54"/>
      <c r="M423" s="88"/>
      <c r="N423" s="88"/>
      <c r="O423" s="45" t="s">
        <v>1292</v>
      </c>
      <c r="P423" s="60"/>
      <c r="Q423" s="60"/>
      <c r="R423" s="45">
        <v>0.79900000000000004</v>
      </c>
      <c r="S423" s="54"/>
      <c r="T423" s="54"/>
      <c r="U423" s="85"/>
      <c r="V423" s="85"/>
      <c r="W423" s="85"/>
      <c r="X423" s="66">
        <f t="shared" si="23"/>
        <v>0.79900000000000004</v>
      </c>
      <c r="Y423" s="45">
        <v>1466</v>
      </c>
      <c r="Z423" s="192" t="str">
        <f t="shared" si="24"/>
        <v>S</v>
      </c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</row>
    <row r="424" spans="1:38" s="45" customFormat="1">
      <c r="A424" s="53"/>
      <c r="B424" s="290" t="s">
        <v>1276</v>
      </c>
      <c r="C424" s="291">
        <v>1989</v>
      </c>
      <c r="D424" s="66"/>
      <c r="E424" s="60" t="s">
        <v>49</v>
      </c>
      <c r="F424" s="85"/>
      <c r="G424" s="54"/>
      <c r="H424" s="74"/>
      <c r="I424" s="74"/>
      <c r="J424" s="257" t="s">
        <v>1062</v>
      </c>
      <c r="K424" s="257" t="s">
        <v>1283</v>
      </c>
      <c r="L424" s="54"/>
      <c r="M424" s="88"/>
      <c r="N424" s="88"/>
      <c r="O424" s="45" t="s">
        <v>1293</v>
      </c>
      <c r="P424" s="60"/>
      <c r="Q424" s="60"/>
      <c r="R424" s="45">
        <v>0.81100000000000005</v>
      </c>
      <c r="S424" s="54"/>
      <c r="T424" s="54"/>
      <c r="U424" s="85"/>
      <c r="V424" s="85"/>
      <c r="W424" s="85"/>
      <c r="X424" s="66">
        <f t="shared" si="23"/>
        <v>0.81100000000000005</v>
      </c>
      <c r="Y424" s="45">
        <v>1488</v>
      </c>
      <c r="Z424" s="192" t="str">
        <f t="shared" si="24"/>
        <v>S</v>
      </c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</row>
    <row r="425" spans="1:38" s="45" customFormat="1">
      <c r="A425" s="53"/>
      <c r="B425" s="290" t="s">
        <v>1276</v>
      </c>
      <c r="C425" s="291">
        <v>1989</v>
      </c>
      <c r="D425" s="66"/>
      <c r="E425" s="60" t="s">
        <v>49</v>
      </c>
      <c r="F425" s="85"/>
      <c r="G425" s="54"/>
      <c r="H425" s="74"/>
      <c r="I425" s="74"/>
      <c r="J425" s="257" t="s">
        <v>1062</v>
      </c>
      <c r="K425" s="257" t="s">
        <v>1283</v>
      </c>
      <c r="L425" s="54"/>
      <c r="M425" s="88"/>
      <c r="N425" s="88"/>
      <c r="O425" s="45" t="s">
        <v>1294</v>
      </c>
      <c r="P425" s="60"/>
      <c r="Q425" s="60"/>
      <c r="R425" s="45">
        <v>0.8</v>
      </c>
      <c r="S425" s="54"/>
      <c r="T425" s="54"/>
      <c r="U425" s="85"/>
      <c r="V425" s="85"/>
      <c r="W425" s="85"/>
      <c r="X425" s="66">
        <f t="shared" si="23"/>
        <v>0.8</v>
      </c>
      <c r="Y425" s="45">
        <v>1468</v>
      </c>
      <c r="Z425" s="192" t="str">
        <f t="shared" si="24"/>
        <v>S</v>
      </c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</row>
    <row r="426" spans="1:38" s="45" customFormat="1">
      <c r="A426" s="53"/>
      <c r="B426" s="290" t="s">
        <v>1276</v>
      </c>
      <c r="C426" s="291">
        <v>1989</v>
      </c>
      <c r="D426" s="66"/>
      <c r="E426" s="60" t="s">
        <v>49</v>
      </c>
      <c r="F426" s="85"/>
      <c r="G426" s="54"/>
      <c r="H426" s="74"/>
      <c r="I426" s="74"/>
      <c r="J426" s="257" t="s">
        <v>1062</v>
      </c>
      <c r="K426" s="257" t="s">
        <v>1283</v>
      </c>
      <c r="L426" s="54"/>
      <c r="M426" s="88"/>
      <c r="N426" s="88"/>
      <c r="O426" s="45" t="s">
        <v>1295</v>
      </c>
      <c r="P426" s="60"/>
      <c r="Q426" s="60"/>
      <c r="R426" s="45">
        <v>0.8</v>
      </c>
      <c r="S426" s="54"/>
      <c r="T426" s="54"/>
      <c r="U426" s="85"/>
      <c r="V426" s="85"/>
      <c r="W426" s="85"/>
      <c r="X426" s="66">
        <f t="shared" si="23"/>
        <v>0.8</v>
      </c>
      <c r="Y426" s="45">
        <v>1468</v>
      </c>
      <c r="Z426" s="192" t="str">
        <f t="shared" si="24"/>
        <v>S</v>
      </c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</row>
    <row r="427" spans="1:38" s="45" customFormat="1">
      <c r="A427" s="53"/>
      <c r="B427" s="290" t="s">
        <v>1276</v>
      </c>
      <c r="C427" s="291">
        <v>1989</v>
      </c>
      <c r="D427" s="66"/>
      <c r="E427" s="60" t="s">
        <v>49</v>
      </c>
      <c r="F427" s="85"/>
      <c r="G427" s="54"/>
      <c r="H427" s="74"/>
      <c r="I427" s="74"/>
      <c r="J427" s="257" t="s">
        <v>1062</v>
      </c>
      <c r="K427" s="257" t="s">
        <v>1283</v>
      </c>
      <c r="L427" s="54"/>
      <c r="M427" s="88"/>
      <c r="N427" s="88"/>
      <c r="O427" s="45" t="s">
        <v>1296</v>
      </c>
      <c r="P427" s="60"/>
      <c r="Q427" s="60"/>
      <c r="R427" s="45">
        <v>0.81200000000000006</v>
      </c>
      <c r="S427" s="54"/>
      <c r="T427" s="54"/>
      <c r="U427" s="85"/>
      <c r="V427" s="85"/>
      <c r="W427" s="85"/>
      <c r="X427" s="66">
        <f t="shared" si="23"/>
        <v>0.81200000000000006</v>
      </c>
      <c r="Y427" s="45">
        <v>1489</v>
      </c>
      <c r="Z427" s="192" t="str">
        <f t="shared" si="24"/>
        <v>S</v>
      </c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</row>
    <row r="428" spans="1:38" s="45" customFormat="1">
      <c r="A428" s="53"/>
      <c r="B428" s="290" t="s">
        <v>1276</v>
      </c>
      <c r="C428" s="291">
        <v>1989</v>
      </c>
      <c r="D428" s="66"/>
      <c r="E428" s="60" t="s">
        <v>49</v>
      </c>
      <c r="F428" s="85"/>
      <c r="G428" s="54"/>
      <c r="H428" s="74"/>
      <c r="I428" s="74"/>
      <c r="J428" s="257" t="s">
        <v>1062</v>
      </c>
      <c r="K428" s="257" t="s">
        <v>1283</v>
      </c>
      <c r="L428" s="54"/>
      <c r="M428" s="88"/>
      <c r="N428" s="88"/>
      <c r="O428" s="45" t="s">
        <v>1297</v>
      </c>
      <c r="P428" s="60"/>
      <c r="Q428" s="60"/>
      <c r="R428" s="48">
        <v>0.59899999999999998</v>
      </c>
      <c r="S428" s="54"/>
      <c r="T428" s="54"/>
      <c r="U428" s="85"/>
      <c r="V428" s="85"/>
      <c r="W428" s="85"/>
      <c r="X428" s="66">
        <f t="shared" si="23"/>
        <v>0.59899999999999998</v>
      </c>
      <c r="Y428" s="48">
        <v>1098</v>
      </c>
      <c r="Z428" s="192" t="str">
        <f t="shared" si="24"/>
        <v>S</v>
      </c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</row>
    <row r="429" spans="1:38" s="45" customFormat="1">
      <c r="A429" s="53"/>
      <c r="B429" s="290" t="s">
        <v>1276</v>
      </c>
      <c r="C429" s="291">
        <v>1989</v>
      </c>
      <c r="D429" s="66"/>
      <c r="E429" s="60" t="s">
        <v>49</v>
      </c>
      <c r="F429" s="85"/>
      <c r="G429" s="54"/>
      <c r="H429" s="74"/>
      <c r="I429" s="74"/>
      <c r="J429" s="257" t="s">
        <v>1062</v>
      </c>
      <c r="K429" s="257" t="s">
        <v>1283</v>
      </c>
      <c r="L429" s="54"/>
      <c r="M429" s="88"/>
      <c r="N429" s="88"/>
      <c r="O429" s="45" t="s">
        <v>1298</v>
      </c>
      <c r="P429" s="60"/>
      <c r="Q429" s="60"/>
      <c r="R429" s="45">
        <v>0.79900000000000004</v>
      </c>
      <c r="S429" s="54"/>
      <c r="T429" s="54"/>
      <c r="U429" s="85"/>
      <c r="V429" s="85"/>
      <c r="W429" s="85"/>
      <c r="X429" s="66">
        <f t="shared" ref="X429:X438" si="27">IF(R429&lt;&gt;0,IF(R429&gt;1,R429/100,R429),IF(U429&lt;&gt;0,IF(U429&gt;1,U429/100,U429),""))</f>
        <v>0.79900000000000004</v>
      </c>
      <c r="Y429" s="45">
        <v>1465</v>
      </c>
      <c r="Z429" s="192" t="str">
        <f t="shared" si="24"/>
        <v>S</v>
      </c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</row>
    <row r="430" spans="1:38" s="45" customFormat="1">
      <c r="A430" s="53"/>
      <c r="B430" s="290" t="s">
        <v>1276</v>
      </c>
      <c r="C430" s="291">
        <v>1989</v>
      </c>
      <c r="D430" s="66"/>
      <c r="E430" s="60" t="s">
        <v>49</v>
      </c>
      <c r="F430" s="85"/>
      <c r="G430" s="54"/>
      <c r="H430" s="74"/>
      <c r="I430" s="74"/>
      <c r="J430" s="257" t="s">
        <v>1062</v>
      </c>
      <c r="K430" s="257" t="s">
        <v>1283</v>
      </c>
      <c r="L430" s="54"/>
      <c r="M430" s="88"/>
      <c r="N430" s="88"/>
      <c r="O430" s="45" t="s">
        <v>1299</v>
      </c>
      <c r="P430" s="60"/>
      <c r="Q430" s="60"/>
      <c r="R430" s="45">
        <v>0.79500000000000004</v>
      </c>
      <c r="S430" s="54"/>
      <c r="T430" s="54"/>
      <c r="U430" s="85"/>
      <c r="V430" s="85"/>
      <c r="W430" s="85"/>
      <c r="X430" s="66">
        <f t="shared" si="27"/>
        <v>0.79500000000000004</v>
      </c>
      <c r="Y430" s="45">
        <v>1460</v>
      </c>
      <c r="Z430" s="192" t="str">
        <f t="shared" si="24"/>
        <v>S</v>
      </c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</row>
    <row r="431" spans="1:38" s="45" customFormat="1">
      <c r="A431" s="53"/>
      <c r="B431" s="290" t="s">
        <v>1276</v>
      </c>
      <c r="C431" s="291">
        <v>1989</v>
      </c>
      <c r="D431" s="66"/>
      <c r="E431" s="60" t="s">
        <v>49</v>
      </c>
      <c r="F431" s="85"/>
      <c r="G431" s="54"/>
      <c r="H431" s="74"/>
      <c r="I431" s="74"/>
      <c r="J431" s="257" t="s">
        <v>1062</v>
      </c>
      <c r="K431" s="257" t="s">
        <v>1283</v>
      </c>
      <c r="L431" s="54"/>
      <c r="M431" s="88"/>
      <c r="N431" s="88"/>
      <c r="O431" s="45" t="s">
        <v>1300</v>
      </c>
      <c r="P431" s="60"/>
      <c r="Q431" s="60"/>
      <c r="R431" s="45">
        <v>0.81599999999999995</v>
      </c>
      <c r="S431" s="54"/>
      <c r="T431" s="54"/>
      <c r="U431" s="85"/>
      <c r="V431" s="85"/>
      <c r="W431" s="85"/>
      <c r="X431" s="66">
        <f t="shared" si="27"/>
        <v>0.81599999999999995</v>
      </c>
      <c r="Y431" s="45">
        <v>1498</v>
      </c>
      <c r="Z431" s="192" t="str">
        <f t="shared" si="24"/>
        <v>S</v>
      </c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</row>
    <row r="432" spans="1:38" s="45" customFormat="1">
      <c r="A432" s="53"/>
      <c r="B432" s="290" t="s">
        <v>1276</v>
      </c>
      <c r="C432" s="291">
        <v>1989</v>
      </c>
      <c r="D432" s="66"/>
      <c r="E432" s="60" t="s">
        <v>49</v>
      </c>
      <c r="F432" s="85"/>
      <c r="G432" s="54"/>
      <c r="H432" s="74"/>
      <c r="I432" s="74"/>
      <c r="J432" s="257" t="s">
        <v>1062</v>
      </c>
      <c r="K432" s="257" t="s">
        <v>1283</v>
      </c>
      <c r="L432" s="54"/>
      <c r="M432" s="88"/>
      <c r="N432" s="88"/>
      <c r="O432" s="45" t="s">
        <v>1301</v>
      </c>
      <c r="P432" s="60"/>
      <c r="Q432" s="60"/>
      <c r="R432" s="45">
        <v>0.81699999999999995</v>
      </c>
      <c r="S432" s="54"/>
      <c r="T432" s="54"/>
      <c r="U432" s="85"/>
      <c r="V432" s="85"/>
      <c r="W432" s="85"/>
      <c r="X432" s="66">
        <f t="shared" si="27"/>
        <v>0.81699999999999995</v>
      </c>
      <c r="Y432" s="45">
        <v>1498</v>
      </c>
      <c r="Z432" s="192" t="str">
        <f t="shared" si="24"/>
        <v>S</v>
      </c>
      <c r="AA432" s="172"/>
      <c r="AB432" s="172"/>
      <c r="AC432" s="172"/>
      <c r="AD432" s="172"/>
      <c r="AE432" s="172"/>
      <c r="AF432" s="172"/>
      <c r="AG432" s="172"/>
      <c r="AH432" s="172"/>
      <c r="AI432" s="172"/>
      <c r="AJ432" s="172"/>
      <c r="AK432" s="172"/>
      <c r="AL432" s="172"/>
    </row>
    <row r="433" spans="1:38" s="45" customFormat="1">
      <c r="A433" s="53"/>
      <c r="B433" s="290" t="s">
        <v>1276</v>
      </c>
      <c r="C433" s="291">
        <v>1989</v>
      </c>
      <c r="D433" s="66"/>
      <c r="E433" s="60" t="s">
        <v>49</v>
      </c>
      <c r="F433" s="85"/>
      <c r="G433" s="54"/>
      <c r="H433" s="74"/>
      <c r="I433" s="74"/>
      <c r="J433" s="257" t="s">
        <v>1062</v>
      </c>
      <c r="K433" s="257" t="s">
        <v>1283</v>
      </c>
      <c r="L433" s="54"/>
      <c r="M433" s="88"/>
      <c r="N433" s="88"/>
      <c r="O433" s="45" t="s">
        <v>1302</v>
      </c>
      <c r="P433" s="60"/>
      <c r="Q433" s="60"/>
      <c r="R433" s="45">
        <v>0.86399999999999999</v>
      </c>
      <c r="S433" s="54"/>
      <c r="T433" s="54"/>
      <c r="U433" s="85"/>
      <c r="V433" s="85"/>
      <c r="W433" s="85"/>
      <c r="X433" s="66">
        <f t="shared" si="27"/>
        <v>0.86399999999999999</v>
      </c>
      <c r="Y433" s="45">
        <v>1586</v>
      </c>
      <c r="Z433" s="192" t="str">
        <f t="shared" si="24"/>
        <v>S</v>
      </c>
      <c r="AA433" s="172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</row>
    <row r="434" spans="1:38" s="45" customFormat="1">
      <c r="A434" s="53"/>
      <c r="B434" s="290" t="s">
        <v>1276</v>
      </c>
      <c r="C434" s="291">
        <v>1989</v>
      </c>
      <c r="D434" s="66"/>
      <c r="E434" s="60" t="s">
        <v>49</v>
      </c>
      <c r="F434" s="85"/>
      <c r="G434" s="54"/>
      <c r="H434" s="74"/>
      <c r="I434" s="74"/>
      <c r="J434" s="257" t="s">
        <v>1062</v>
      </c>
      <c r="K434" s="257" t="s">
        <v>1283</v>
      </c>
      <c r="L434" s="54"/>
      <c r="M434" s="88"/>
      <c r="N434" s="88"/>
      <c r="O434" s="45" t="s">
        <v>1303</v>
      </c>
      <c r="P434" s="60"/>
      <c r="Q434" s="60"/>
      <c r="R434" s="45">
        <v>0.84099999999999997</v>
      </c>
      <c r="S434" s="54"/>
      <c r="T434" s="54"/>
      <c r="U434" s="85"/>
      <c r="V434" s="85"/>
      <c r="W434" s="85"/>
      <c r="X434" s="66">
        <f t="shared" si="27"/>
        <v>0.84099999999999997</v>
      </c>
      <c r="Y434" s="45">
        <v>1543</v>
      </c>
      <c r="Z434" s="192" t="str">
        <f t="shared" si="24"/>
        <v>S</v>
      </c>
      <c r="AA434" s="172"/>
      <c r="AB434" s="172"/>
      <c r="AC434" s="172"/>
      <c r="AD434" s="172"/>
      <c r="AE434" s="172"/>
      <c r="AF434" s="172"/>
      <c r="AG434" s="172"/>
      <c r="AH434" s="172"/>
      <c r="AI434" s="172"/>
      <c r="AJ434" s="172"/>
      <c r="AK434" s="172"/>
      <c r="AL434" s="172"/>
    </row>
    <row r="435" spans="1:38" s="45" customFormat="1">
      <c r="A435" s="53"/>
      <c r="B435" s="290" t="s">
        <v>1276</v>
      </c>
      <c r="C435" s="291">
        <v>1989</v>
      </c>
      <c r="D435" s="66"/>
      <c r="E435" s="60" t="s">
        <v>49</v>
      </c>
      <c r="F435" s="85"/>
      <c r="G435" s="54"/>
      <c r="H435" s="74"/>
      <c r="I435" s="74"/>
      <c r="J435" s="257" t="s">
        <v>1062</v>
      </c>
      <c r="K435" s="257" t="s">
        <v>1283</v>
      </c>
      <c r="L435" s="54"/>
      <c r="M435" s="88"/>
      <c r="N435" s="88"/>
      <c r="O435" s="45" t="s">
        <v>1304</v>
      </c>
      <c r="P435" s="60"/>
      <c r="Q435" s="60"/>
      <c r="R435" s="45">
        <v>0.84</v>
      </c>
      <c r="S435" s="54"/>
      <c r="T435" s="54"/>
      <c r="U435" s="85"/>
      <c r="V435" s="85"/>
      <c r="W435" s="85"/>
      <c r="X435" s="66">
        <f t="shared" si="27"/>
        <v>0.84</v>
      </c>
      <c r="Y435" s="45">
        <v>1541</v>
      </c>
      <c r="Z435" s="192" t="str">
        <f t="shared" si="24"/>
        <v>S</v>
      </c>
      <c r="AA435" s="172"/>
      <c r="AB435" s="172"/>
      <c r="AC435" s="172"/>
      <c r="AD435" s="172"/>
      <c r="AE435" s="172"/>
      <c r="AF435" s="172"/>
      <c r="AG435" s="172"/>
      <c r="AH435" s="172"/>
      <c r="AI435" s="172"/>
      <c r="AJ435" s="172"/>
      <c r="AK435" s="172"/>
      <c r="AL435" s="172"/>
    </row>
    <row r="436" spans="1:38" s="45" customFormat="1">
      <c r="A436" s="53"/>
      <c r="B436" s="290" t="s">
        <v>1276</v>
      </c>
      <c r="C436" s="291">
        <v>1989</v>
      </c>
      <c r="D436" s="66"/>
      <c r="E436" s="60" t="s">
        <v>49</v>
      </c>
      <c r="F436" s="85"/>
      <c r="G436" s="54"/>
      <c r="H436" s="74"/>
      <c r="I436" s="74"/>
      <c r="J436" s="257" t="s">
        <v>1062</v>
      </c>
      <c r="K436" s="257" t="s">
        <v>1283</v>
      </c>
      <c r="L436" s="54"/>
      <c r="M436" s="88"/>
      <c r="N436" s="88"/>
      <c r="O436" s="45" t="s">
        <v>1305</v>
      </c>
      <c r="P436" s="60"/>
      <c r="Q436" s="60"/>
      <c r="R436" s="45">
        <v>0.81</v>
      </c>
      <c r="S436" s="54"/>
      <c r="T436" s="54"/>
      <c r="U436" s="85"/>
      <c r="V436" s="85"/>
      <c r="W436" s="85"/>
      <c r="X436" s="66">
        <f t="shared" si="27"/>
        <v>0.81</v>
      </c>
      <c r="Y436" s="45">
        <v>1486</v>
      </c>
      <c r="Z436" s="192" t="str">
        <f t="shared" si="24"/>
        <v>S</v>
      </c>
      <c r="AA436" s="172"/>
      <c r="AB436" s="172"/>
      <c r="AC436" s="172"/>
      <c r="AD436" s="172"/>
      <c r="AE436" s="172"/>
      <c r="AF436" s="172"/>
      <c r="AG436" s="172"/>
      <c r="AH436" s="172"/>
      <c r="AI436" s="172"/>
      <c r="AJ436" s="172"/>
      <c r="AK436" s="172"/>
      <c r="AL436" s="172"/>
    </row>
    <row r="437" spans="1:38" s="45" customFormat="1">
      <c r="A437" s="53"/>
      <c r="B437" s="290" t="s">
        <v>1276</v>
      </c>
      <c r="C437" s="291">
        <v>1989</v>
      </c>
      <c r="D437" s="66"/>
      <c r="E437" s="60" t="s">
        <v>49</v>
      </c>
      <c r="F437" s="85"/>
      <c r="G437" s="54"/>
      <c r="H437" s="74"/>
      <c r="I437" s="74"/>
      <c r="J437" s="257" t="s">
        <v>1062</v>
      </c>
      <c r="K437" s="257" t="s">
        <v>1283</v>
      </c>
      <c r="L437" s="54"/>
      <c r="M437" s="88"/>
      <c r="N437" s="88"/>
      <c r="O437" s="45" t="s">
        <v>1306</v>
      </c>
      <c r="P437" s="60"/>
      <c r="Q437" s="60"/>
      <c r="R437" s="45">
        <v>0.88100000000000001</v>
      </c>
      <c r="S437" s="54"/>
      <c r="T437" s="54"/>
      <c r="U437" s="85"/>
      <c r="V437" s="85"/>
      <c r="W437" s="85"/>
      <c r="X437" s="66">
        <f t="shared" si="27"/>
        <v>0.88100000000000001</v>
      </c>
      <c r="Y437" s="45">
        <v>1617</v>
      </c>
      <c r="Z437" s="192" t="str">
        <f t="shared" si="24"/>
        <v>S</v>
      </c>
      <c r="AA437" s="172"/>
      <c r="AB437" s="172"/>
      <c r="AC437" s="172"/>
      <c r="AD437" s="172"/>
      <c r="AE437" s="172"/>
      <c r="AF437" s="172"/>
      <c r="AG437" s="172"/>
      <c r="AH437" s="172"/>
      <c r="AI437" s="172"/>
      <c r="AJ437" s="172"/>
      <c r="AK437" s="172"/>
      <c r="AL437" s="172"/>
    </row>
    <row r="438" spans="1:38" s="45" customFormat="1">
      <c r="A438" s="53"/>
      <c r="B438" s="290" t="s">
        <v>1276</v>
      </c>
      <c r="C438" s="291">
        <v>1989</v>
      </c>
      <c r="D438" s="66"/>
      <c r="E438" s="60" t="s">
        <v>49</v>
      </c>
      <c r="F438" s="85"/>
      <c r="G438" s="54"/>
      <c r="H438" s="74"/>
      <c r="I438" s="74"/>
      <c r="J438" s="257" t="s">
        <v>1062</v>
      </c>
      <c r="K438" s="257" t="s">
        <v>1283</v>
      </c>
      <c r="L438" s="54"/>
      <c r="M438" s="88"/>
      <c r="N438" s="88"/>
      <c r="O438" s="45" t="s">
        <v>1307</v>
      </c>
      <c r="P438" s="60"/>
      <c r="Q438" s="60"/>
      <c r="R438" s="45">
        <v>0.82899999999999996</v>
      </c>
      <c r="S438" s="54"/>
      <c r="T438" s="54"/>
      <c r="U438" s="85"/>
      <c r="V438" s="85"/>
      <c r="W438" s="85"/>
      <c r="X438" s="66">
        <f t="shared" si="27"/>
        <v>0.82899999999999996</v>
      </c>
      <c r="Y438" s="45">
        <v>1522</v>
      </c>
      <c r="Z438" s="192" t="str">
        <f t="shared" si="24"/>
        <v>S</v>
      </c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</row>
    <row r="439" spans="1:38" s="107" customFormat="1">
      <c r="A439" s="97">
        <v>66</v>
      </c>
      <c r="B439" s="103" t="s">
        <v>45</v>
      </c>
      <c r="C439" s="103">
        <v>1989</v>
      </c>
      <c r="D439" s="103" t="s">
        <v>187</v>
      </c>
      <c r="E439" s="99" t="s">
        <v>49</v>
      </c>
      <c r="F439" s="98" t="s">
        <v>195</v>
      </c>
      <c r="G439" s="98" t="s">
        <v>190</v>
      </c>
      <c r="H439" s="98" t="s">
        <v>146</v>
      </c>
      <c r="I439" s="98"/>
      <c r="J439" s="98" t="s">
        <v>1034</v>
      </c>
      <c r="K439" s="98" t="s">
        <v>1065</v>
      </c>
      <c r="L439" s="98" t="s">
        <v>196</v>
      </c>
      <c r="M439" s="98"/>
      <c r="N439" s="98"/>
      <c r="O439" s="98" t="s">
        <v>197</v>
      </c>
      <c r="P439" s="98"/>
      <c r="Q439" s="98"/>
      <c r="R439" s="98"/>
      <c r="S439" s="98"/>
      <c r="T439" s="98"/>
      <c r="U439" s="98"/>
      <c r="V439" s="98"/>
      <c r="W439" s="98"/>
      <c r="X439" s="101" t="str">
        <f t="shared" ref="X439:X470" si="28">IF(R439&lt;&gt;0,IF(R439&gt;1,R439/100,R439),IF(U439&lt;&gt;0,IF(U439&gt;1,U439/100,U439),""))</f>
        <v/>
      </c>
      <c r="Y439" s="111">
        <v>1600</v>
      </c>
      <c r="Z439" s="106" t="s">
        <v>1193</v>
      </c>
      <c r="AA439" s="187" t="s">
        <v>1215</v>
      </c>
      <c r="AB439" s="188" t="s">
        <v>1206</v>
      </c>
      <c r="AC439" s="188" t="s">
        <v>1207</v>
      </c>
      <c r="AD439" s="188" t="s">
        <v>1208</v>
      </c>
      <c r="AE439" s="188" t="s">
        <v>1209</v>
      </c>
      <c r="AF439" s="188" t="s">
        <v>1210</v>
      </c>
      <c r="AG439" s="188" t="s">
        <v>1211</v>
      </c>
      <c r="AH439" s="174"/>
      <c r="AI439" s="174"/>
      <c r="AJ439" s="174"/>
      <c r="AK439" s="174"/>
      <c r="AL439" s="174"/>
    </row>
    <row r="440" spans="1:38" s="107" customFormat="1">
      <c r="A440" s="174"/>
      <c r="B440" s="182" t="s">
        <v>1025</v>
      </c>
      <c r="C440" s="132">
        <v>1996</v>
      </c>
      <c r="D440" s="174"/>
      <c r="E440" s="180" t="s">
        <v>49</v>
      </c>
      <c r="F440" s="174"/>
      <c r="G440" s="174"/>
      <c r="H440" s="182" t="s">
        <v>146</v>
      </c>
      <c r="I440" s="174"/>
      <c r="J440" s="101" t="s">
        <v>1034</v>
      </c>
      <c r="K440" s="98" t="s">
        <v>1035</v>
      </c>
      <c r="L440" s="182" t="s">
        <v>1032</v>
      </c>
      <c r="M440" s="174"/>
      <c r="N440" s="174"/>
      <c r="O440" s="182" t="s">
        <v>1028</v>
      </c>
      <c r="P440" s="174"/>
      <c r="Q440" s="174"/>
      <c r="R440" s="174"/>
      <c r="S440" s="174"/>
      <c r="T440" s="174">
        <v>84.74</v>
      </c>
      <c r="U440" s="174">
        <f>+T440</f>
        <v>84.74</v>
      </c>
      <c r="V440" s="174"/>
      <c r="W440" s="174">
        <f>3110/2</f>
        <v>1555</v>
      </c>
      <c r="X440" s="101">
        <f t="shared" si="28"/>
        <v>0.84739999999999993</v>
      </c>
      <c r="Y440" s="230">
        <f>+W440</f>
        <v>1555</v>
      </c>
      <c r="Z440" s="106" t="str">
        <f t="shared" ref="Z440:Z461" si="29">IF(X440&lt;&gt;"",IF(X440&lt;0.9,"S","F"),"")</f>
        <v>S</v>
      </c>
      <c r="AA440" s="307" t="s">
        <v>1364</v>
      </c>
      <c r="AB440" s="307">
        <f>AVERAGE($Y$439:$Y$514)</f>
        <v>1569.9624999999996</v>
      </c>
      <c r="AC440" s="307">
        <f>MEDIAN($Y$439:$Y$514)</f>
        <v>1598.5</v>
      </c>
      <c r="AD440" s="307">
        <f>MAX($Y$439:$Y$514)</f>
        <v>1876</v>
      </c>
      <c r="AE440" s="307">
        <f>MIN($Y$439:$Y$514)</f>
        <v>1174</v>
      </c>
      <c r="AF440" s="307">
        <f>STDEV($Y$439:$Y$514)</f>
        <v>147.44007847823016</v>
      </c>
      <c r="AG440" s="307">
        <f>COUNT($Y$439:$Y$514)</f>
        <v>76</v>
      </c>
      <c r="AH440" s="174"/>
      <c r="AI440" s="174"/>
      <c r="AJ440" s="174"/>
      <c r="AK440" s="174"/>
      <c r="AL440" s="174"/>
    </row>
    <row r="441" spans="1:38" s="107" customFormat="1">
      <c r="A441" s="174"/>
      <c r="B441" s="182" t="s">
        <v>1025</v>
      </c>
      <c r="C441" s="132">
        <v>1996</v>
      </c>
      <c r="D441" s="174"/>
      <c r="E441" s="180" t="s">
        <v>49</v>
      </c>
      <c r="F441" s="174"/>
      <c r="G441" s="174"/>
      <c r="H441" s="182" t="s">
        <v>146</v>
      </c>
      <c r="I441" s="174"/>
      <c r="J441" s="101" t="s">
        <v>1034</v>
      </c>
      <c r="K441" s="98" t="s">
        <v>1036</v>
      </c>
      <c r="L441" s="182" t="s">
        <v>1031</v>
      </c>
      <c r="M441" s="174"/>
      <c r="N441" s="174"/>
      <c r="O441" s="182" t="s">
        <v>1027</v>
      </c>
      <c r="P441" s="174"/>
      <c r="Q441" s="174"/>
      <c r="R441" s="174"/>
      <c r="S441" s="174"/>
      <c r="T441" s="174">
        <v>85.28</v>
      </c>
      <c r="U441" s="174">
        <f>+T441</f>
        <v>85.28</v>
      </c>
      <c r="V441" s="174"/>
      <c r="W441" s="174">
        <f>3139.9/2</f>
        <v>1569.95</v>
      </c>
      <c r="X441" s="101">
        <f t="shared" si="28"/>
        <v>0.8528</v>
      </c>
      <c r="Y441" s="230">
        <f>+W441</f>
        <v>1569.95</v>
      </c>
      <c r="Z441" s="106" t="str">
        <f t="shared" si="29"/>
        <v>S</v>
      </c>
      <c r="AA441" s="190" t="s">
        <v>1365</v>
      </c>
      <c r="AB441" s="190">
        <f>AVERAGE($Y$443:$Y$466)</f>
        <v>1696.3708333333334</v>
      </c>
      <c r="AC441" s="190">
        <f>MEDIAN($Y$443:$Y$466)</f>
        <v>1685.5</v>
      </c>
      <c r="AD441" s="190">
        <f>MAX($Y$443:$Y$466)</f>
        <v>1876</v>
      </c>
      <c r="AE441" s="190">
        <f>MIN($Y$443:$Y$466)</f>
        <v>1538</v>
      </c>
      <c r="AF441" s="190">
        <f>STDEV($Y$443:$Y$466)</f>
        <v>78.40991773542018</v>
      </c>
      <c r="AG441" s="190">
        <f>COUNT($Y$443:$Y$466)</f>
        <v>24</v>
      </c>
      <c r="AH441" s="174"/>
      <c r="AI441" s="174"/>
      <c r="AJ441" s="174"/>
      <c r="AK441" s="174"/>
      <c r="AL441" s="174"/>
    </row>
    <row r="442" spans="1:38" s="107" customFormat="1">
      <c r="A442" s="97">
        <v>174</v>
      </c>
      <c r="B442" s="98" t="s">
        <v>697</v>
      </c>
      <c r="C442" s="98">
        <v>2009</v>
      </c>
      <c r="D442" s="108" t="s">
        <v>698</v>
      </c>
      <c r="E442" s="99" t="s">
        <v>20</v>
      </c>
      <c r="F442" s="100" t="s">
        <v>701</v>
      </c>
      <c r="G442" s="98" t="s">
        <v>718</v>
      </c>
      <c r="H442" s="98" t="s">
        <v>146</v>
      </c>
      <c r="I442" s="98"/>
      <c r="J442" s="174" t="s">
        <v>1034</v>
      </c>
      <c r="K442" s="98" t="s">
        <v>1066</v>
      </c>
      <c r="L442" s="98" t="s">
        <v>234</v>
      </c>
      <c r="M442" s="109"/>
      <c r="N442" s="109"/>
      <c r="O442" s="98" t="s">
        <v>234</v>
      </c>
      <c r="P442" s="103"/>
      <c r="Q442" s="103"/>
      <c r="R442" s="98"/>
      <c r="S442" s="98"/>
      <c r="T442" s="98"/>
      <c r="U442" s="104">
        <v>0.89900000000000002</v>
      </c>
      <c r="V442" s="175"/>
      <c r="W442" s="175"/>
      <c r="X442" s="101">
        <f t="shared" si="28"/>
        <v>0.89900000000000002</v>
      </c>
      <c r="Y442" s="221">
        <v>1471</v>
      </c>
      <c r="Z442" s="106" t="str">
        <f t="shared" si="29"/>
        <v>S</v>
      </c>
      <c r="AA442" s="190" t="s">
        <v>1366</v>
      </c>
      <c r="AB442" s="190">
        <f>AVERAGE($Y$439:$Y$442)</f>
        <v>1548.9875</v>
      </c>
      <c r="AC442" s="190">
        <f>MEDIAN($Y$439:$Y$442)</f>
        <v>1562.4749999999999</v>
      </c>
      <c r="AD442" s="190">
        <f>MAX($Y$439:$Y$442)</f>
        <v>1600</v>
      </c>
      <c r="AE442" s="190">
        <f>MIN($Y$439:$Y$442)</f>
        <v>1471</v>
      </c>
      <c r="AF442" s="190">
        <f>STDEV($Y$439:$Y$442)</f>
        <v>55.256679460496009</v>
      </c>
      <c r="AG442" s="190">
        <f>COUNT($Y$439:$Y$442)</f>
        <v>4</v>
      </c>
      <c r="AH442" s="174"/>
      <c r="AI442" s="174"/>
      <c r="AJ442" s="174"/>
      <c r="AK442" s="174"/>
      <c r="AL442" s="174"/>
    </row>
    <row r="443" spans="1:38" s="107" customFormat="1">
      <c r="A443" s="174"/>
      <c r="B443" s="182" t="s">
        <v>1025</v>
      </c>
      <c r="C443" s="132">
        <v>1996</v>
      </c>
      <c r="D443" s="174"/>
      <c r="E443" s="180" t="s">
        <v>49</v>
      </c>
      <c r="F443" s="174"/>
      <c r="G443" s="174"/>
      <c r="H443" s="182" t="s">
        <v>146</v>
      </c>
      <c r="I443" s="174"/>
      <c r="J443" s="101" t="s">
        <v>1034</v>
      </c>
      <c r="K443" s="98" t="s">
        <v>1035</v>
      </c>
      <c r="L443" s="182" t="s">
        <v>1033</v>
      </c>
      <c r="M443" s="174"/>
      <c r="N443" s="174"/>
      <c r="O443" s="182" t="s">
        <v>1029</v>
      </c>
      <c r="P443" s="174"/>
      <c r="Q443" s="174"/>
      <c r="R443" s="174"/>
      <c r="S443" s="174">
        <v>90.1</v>
      </c>
      <c r="T443" s="174"/>
      <c r="U443" s="174">
        <f>+S443</f>
        <v>90.1</v>
      </c>
      <c r="V443" s="174">
        <f>3306.8/2</f>
        <v>1653.4</v>
      </c>
      <c r="W443" s="174"/>
      <c r="X443" s="101">
        <f t="shared" si="28"/>
        <v>0.90099999999999991</v>
      </c>
      <c r="Y443" s="230">
        <f>+V443</f>
        <v>1653.4</v>
      </c>
      <c r="Z443" s="106" t="str">
        <f t="shared" si="29"/>
        <v>F</v>
      </c>
      <c r="AA443" s="174" t="s">
        <v>1363</v>
      </c>
      <c r="AB443" s="174"/>
      <c r="AC443" s="174"/>
      <c r="AD443" s="174"/>
      <c r="AE443" s="174"/>
      <c r="AF443" s="174"/>
      <c r="AG443" s="174"/>
      <c r="AH443" s="174"/>
      <c r="AI443" s="174"/>
      <c r="AJ443" s="174"/>
      <c r="AK443" s="174"/>
      <c r="AL443" s="174"/>
    </row>
    <row r="444" spans="1:38" s="107" customFormat="1">
      <c r="A444" s="97">
        <v>173</v>
      </c>
      <c r="B444" s="98" t="s">
        <v>585</v>
      </c>
      <c r="C444" s="98">
        <v>2011</v>
      </c>
      <c r="D444" s="108" t="s">
        <v>636</v>
      </c>
      <c r="E444" s="99" t="s">
        <v>638</v>
      </c>
      <c r="F444" s="100" t="s">
        <v>665</v>
      </c>
      <c r="G444" s="98" t="s">
        <v>595</v>
      </c>
      <c r="H444" s="98" t="s">
        <v>146</v>
      </c>
      <c r="I444" s="98"/>
      <c r="J444" s="101" t="s">
        <v>1034</v>
      </c>
      <c r="K444" s="98" t="s">
        <v>1079</v>
      </c>
      <c r="L444" s="98" t="s">
        <v>667</v>
      </c>
      <c r="M444" s="109"/>
      <c r="N444" s="109"/>
      <c r="O444" s="98" t="s">
        <v>668</v>
      </c>
      <c r="P444" s="103"/>
      <c r="Q444" s="103"/>
      <c r="R444" s="98"/>
      <c r="S444" s="98"/>
      <c r="T444" s="98"/>
      <c r="U444" s="104">
        <v>0.90300000000000002</v>
      </c>
      <c r="V444" s="175"/>
      <c r="W444" s="175"/>
      <c r="X444" s="101">
        <f t="shared" si="28"/>
        <v>0.90300000000000002</v>
      </c>
      <c r="Y444" s="221">
        <v>1603</v>
      </c>
      <c r="Z444" s="106" t="str">
        <f t="shared" si="29"/>
        <v>F</v>
      </c>
      <c r="AA444" s="174"/>
      <c r="AB444" s="174"/>
      <c r="AC444" s="174"/>
      <c r="AD444" s="174"/>
      <c r="AE444" s="174"/>
      <c r="AF444" s="174"/>
      <c r="AG444" s="174"/>
      <c r="AH444" s="174"/>
      <c r="AI444" s="174"/>
      <c r="AJ444" s="174"/>
      <c r="AK444" s="174"/>
      <c r="AL444" s="174"/>
    </row>
    <row r="445" spans="1:38" s="107" customFormat="1">
      <c r="A445" s="97">
        <v>174</v>
      </c>
      <c r="B445" s="98" t="s">
        <v>697</v>
      </c>
      <c r="C445" s="98">
        <v>2009</v>
      </c>
      <c r="D445" s="108" t="s">
        <v>698</v>
      </c>
      <c r="E445" s="99" t="s">
        <v>20</v>
      </c>
      <c r="F445" s="100" t="s">
        <v>701</v>
      </c>
      <c r="G445" s="98" t="s">
        <v>718</v>
      </c>
      <c r="H445" s="98" t="s">
        <v>146</v>
      </c>
      <c r="I445" s="98"/>
      <c r="J445" s="174" t="s">
        <v>1034</v>
      </c>
      <c r="K445" s="98" t="s">
        <v>1043</v>
      </c>
      <c r="L445" s="98" t="s">
        <v>735</v>
      </c>
      <c r="M445" s="109"/>
      <c r="N445" s="109"/>
      <c r="O445" s="98" t="s">
        <v>166</v>
      </c>
      <c r="P445" s="103"/>
      <c r="Q445" s="103"/>
      <c r="R445" s="98"/>
      <c r="S445" s="98"/>
      <c r="T445" s="98"/>
      <c r="U445" s="104">
        <v>0.90900000000000003</v>
      </c>
      <c r="V445" s="175"/>
      <c r="W445" s="175"/>
      <c r="X445" s="101">
        <f t="shared" si="28"/>
        <v>0.90900000000000003</v>
      </c>
      <c r="Y445" s="221">
        <v>1538</v>
      </c>
      <c r="Z445" s="106" t="str">
        <f t="shared" si="29"/>
        <v>F</v>
      </c>
      <c r="AA445" s="174"/>
      <c r="AB445" s="174"/>
      <c r="AC445" s="174"/>
      <c r="AD445" s="174"/>
      <c r="AE445" s="174"/>
      <c r="AF445" s="174"/>
      <c r="AG445" s="174"/>
      <c r="AH445" s="174"/>
      <c r="AI445" s="174"/>
      <c r="AJ445" s="174"/>
      <c r="AK445" s="174"/>
      <c r="AL445" s="174"/>
    </row>
    <row r="446" spans="1:38" s="107" customFormat="1">
      <c r="A446" s="97">
        <v>174</v>
      </c>
      <c r="B446" s="98" t="s">
        <v>697</v>
      </c>
      <c r="C446" s="98">
        <v>2009</v>
      </c>
      <c r="D446" s="108" t="s">
        <v>698</v>
      </c>
      <c r="E446" s="99" t="s">
        <v>20</v>
      </c>
      <c r="F446" s="100" t="s">
        <v>701</v>
      </c>
      <c r="G446" s="98" t="s">
        <v>718</v>
      </c>
      <c r="H446" s="98" t="s">
        <v>146</v>
      </c>
      <c r="I446" s="98"/>
      <c r="J446" s="174" t="s">
        <v>1034</v>
      </c>
      <c r="K446" s="98" t="s">
        <v>1065</v>
      </c>
      <c r="L446" s="98" t="s">
        <v>740</v>
      </c>
      <c r="M446" s="109"/>
      <c r="N446" s="109"/>
      <c r="O446" s="98" t="s">
        <v>228</v>
      </c>
      <c r="P446" s="103"/>
      <c r="Q446" s="103"/>
      <c r="R446" s="98"/>
      <c r="S446" s="98"/>
      <c r="T446" s="98"/>
      <c r="U446" s="104">
        <v>0.91300000000000003</v>
      </c>
      <c r="V446" s="175"/>
      <c r="W446" s="175"/>
      <c r="X446" s="101">
        <f t="shared" si="28"/>
        <v>0.91300000000000003</v>
      </c>
      <c r="Y446" s="221">
        <v>1623</v>
      </c>
      <c r="Z446" s="106" t="str">
        <f t="shared" si="29"/>
        <v>F</v>
      </c>
      <c r="AA446" s="174"/>
      <c r="AB446" s="174"/>
      <c r="AC446" s="174"/>
      <c r="AD446" s="174"/>
      <c r="AE446" s="174"/>
      <c r="AF446" s="174"/>
      <c r="AG446" s="174"/>
      <c r="AH446" s="174"/>
      <c r="AI446" s="174"/>
      <c r="AJ446" s="174"/>
      <c r="AK446" s="174"/>
      <c r="AL446" s="174"/>
    </row>
    <row r="447" spans="1:38" s="107" customFormat="1">
      <c r="A447" s="97">
        <v>174</v>
      </c>
      <c r="B447" s="98" t="s">
        <v>697</v>
      </c>
      <c r="C447" s="98">
        <v>2009</v>
      </c>
      <c r="D447" s="108" t="s">
        <v>698</v>
      </c>
      <c r="E447" s="99" t="s">
        <v>20</v>
      </c>
      <c r="F447" s="100" t="s">
        <v>701</v>
      </c>
      <c r="G447" s="98" t="s">
        <v>718</v>
      </c>
      <c r="H447" s="98" t="s">
        <v>146</v>
      </c>
      <c r="I447" s="98"/>
      <c r="J447" s="174" t="s">
        <v>1034</v>
      </c>
      <c r="K447" s="98" t="s">
        <v>1035</v>
      </c>
      <c r="L447" s="98" t="s">
        <v>232</v>
      </c>
      <c r="M447" s="109"/>
      <c r="N447" s="109"/>
      <c r="O447" s="98" t="s">
        <v>232</v>
      </c>
      <c r="P447" s="103"/>
      <c r="Q447" s="103"/>
      <c r="R447" s="98"/>
      <c r="S447" s="98"/>
      <c r="T447" s="98"/>
      <c r="U447" s="104">
        <v>0.91400000000000003</v>
      </c>
      <c r="V447" s="175"/>
      <c r="W447" s="175"/>
      <c r="X447" s="101">
        <f t="shared" si="28"/>
        <v>0.91400000000000003</v>
      </c>
      <c r="Y447" s="221">
        <v>1562</v>
      </c>
      <c r="Z447" s="106" t="str">
        <f t="shared" si="29"/>
        <v>F</v>
      </c>
      <c r="AA447" s="174"/>
      <c r="AB447" s="174"/>
      <c r="AC447" s="174"/>
      <c r="AD447" s="174"/>
      <c r="AE447" s="174"/>
      <c r="AF447" s="174"/>
      <c r="AG447" s="174"/>
      <c r="AH447" s="174"/>
      <c r="AI447" s="174"/>
      <c r="AJ447" s="174"/>
      <c r="AK447" s="174"/>
      <c r="AL447" s="174"/>
    </row>
    <row r="448" spans="1:38" s="107" customFormat="1">
      <c r="A448" s="174"/>
      <c r="B448" s="182" t="s">
        <v>1025</v>
      </c>
      <c r="C448" s="132">
        <v>1996</v>
      </c>
      <c r="D448" s="174"/>
      <c r="E448" s="180" t="s">
        <v>49</v>
      </c>
      <c r="F448" s="174"/>
      <c r="G448" s="174"/>
      <c r="H448" s="182" t="s">
        <v>146</v>
      </c>
      <c r="I448" s="174"/>
      <c r="J448" s="101" t="s">
        <v>1034</v>
      </c>
      <c r="K448" s="98" t="s">
        <v>1035</v>
      </c>
      <c r="L448" s="182" t="s">
        <v>1032</v>
      </c>
      <c r="M448" s="174"/>
      <c r="N448" s="174"/>
      <c r="O448" s="182" t="s">
        <v>1028</v>
      </c>
      <c r="P448" s="174"/>
      <c r="Q448" s="174"/>
      <c r="R448" s="174"/>
      <c r="S448" s="174">
        <v>91.48</v>
      </c>
      <c r="T448" s="174"/>
      <c r="U448" s="174">
        <f>+S448</f>
        <v>91.48</v>
      </c>
      <c r="V448" s="174">
        <f>3357.4/2</f>
        <v>1678.7</v>
      </c>
      <c r="W448" s="174"/>
      <c r="X448" s="101">
        <f t="shared" si="28"/>
        <v>0.91480000000000006</v>
      </c>
      <c r="Y448" s="230">
        <f>+V448</f>
        <v>1678.7</v>
      </c>
      <c r="Z448" s="106" t="str">
        <f t="shared" si="29"/>
        <v>F</v>
      </c>
      <c r="AA448" s="174"/>
      <c r="AB448" s="174"/>
      <c r="AC448" s="174"/>
      <c r="AD448" s="174"/>
      <c r="AE448" s="174"/>
      <c r="AF448" s="174"/>
      <c r="AG448" s="174"/>
      <c r="AH448" s="174"/>
      <c r="AI448" s="174"/>
      <c r="AJ448" s="174"/>
      <c r="AK448" s="174"/>
      <c r="AL448" s="174"/>
    </row>
    <row r="449" spans="1:38" s="107" customFormat="1">
      <c r="A449" s="174"/>
      <c r="B449" s="182" t="s">
        <v>1025</v>
      </c>
      <c r="C449" s="132">
        <v>1996</v>
      </c>
      <c r="D449" s="174"/>
      <c r="E449" s="180" t="s">
        <v>49</v>
      </c>
      <c r="F449" s="174"/>
      <c r="G449" s="174"/>
      <c r="H449" s="182" t="s">
        <v>146</v>
      </c>
      <c r="I449" s="174"/>
      <c r="J449" s="101" t="s">
        <v>1034</v>
      </c>
      <c r="K449" s="98" t="s">
        <v>1035</v>
      </c>
      <c r="L449" s="182" t="s">
        <v>1032</v>
      </c>
      <c r="M449" s="174"/>
      <c r="N449" s="174"/>
      <c r="O449" s="182" t="s">
        <v>1028</v>
      </c>
      <c r="P449" s="174"/>
      <c r="Q449" s="174"/>
      <c r="R449" s="174"/>
      <c r="S449" s="174">
        <v>91.48</v>
      </c>
      <c r="T449" s="174"/>
      <c r="U449" s="174">
        <f>+S449</f>
        <v>91.48</v>
      </c>
      <c r="V449" s="174">
        <f>3357.4/2</f>
        <v>1678.7</v>
      </c>
      <c r="W449" s="174"/>
      <c r="X449" s="101">
        <f t="shared" si="28"/>
        <v>0.91480000000000006</v>
      </c>
      <c r="Y449" s="230">
        <f>+V449</f>
        <v>1678.7</v>
      </c>
      <c r="Z449" s="106" t="str">
        <f t="shared" si="29"/>
        <v>F</v>
      </c>
      <c r="AA449" s="174"/>
      <c r="AB449" s="174"/>
      <c r="AC449" s="174"/>
      <c r="AD449" s="174"/>
      <c r="AE449" s="174"/>
      <c r="AF449" s="174"/>
      <c r="AG449" s="174"/>
      <c r="AH449" s="174"/>
      <c r="AI449" s="174"/>
      <c r="AJ449" s="174"/>
      <c r="AK449" s="174"/>
      <c r="AL449" s="174"/>
    </row>
    <row r="450" spans="1:38" s="107" customFormat="1">
      <c r="A450" s="97">
        <v>173</v>
      </c>
      <c r="B450" s="98" t="s">
        <v>585</v>
      </c>
      <c r="C450" s="98">
        <v>2011</v>
      </c>
      <c r="D450" s="108" t="s">
        <v>636</v>
      </c>
      <c r="E450" s="99" t="s">
        <v>638</v>
      </c>
      <c r="F450" s="100" t="s">
        <v>669</v>
      </c>
      <c r="G450" s="98" t="s">
        <v>670</v>
      </c>
      <c r="H450" s="98" t="s">
        <v>146</v>
      </c>
      <c r="I450" s="98"/>
      <c r="J450" s="101" t="s">
        <v>1034</v>
      </c>
      <c r="K450" s="98" t="s">
        <v>1043</v>
      </c>
      <c r="L450" s="98" t="s">
        <v>671</v>
      </c>
      <c r="M450" s="109"/>
      <c r="N450" s="109"/>
      <c r="O450" s="98" t="s">
        <v>672</v>
      </c>
      <c r="P450" s="103"/>
      <c r="Q450" s="103"/>
      <c r="R450" s="98"/>
      <c r="S450" s="98"/>
      <c r="T450" s="98"/>
      <c r="U450" s="104">
        <v>0.93300000000000005</v>
      </c>
      <c r="V450" s="175"/>
      <c r="W450" s="175"/>
      <c r="X450" s="101">
        <f t="shared" si="28"/>
        <v>0.93300000000000005</v>
      </c>
      <c r="Y450" s="221">
        <v>1666</v>
      </c>
      <c r="Z450" s="106" t="str">
        <f t="shared" si="29"/>
        <v>F</v>
      </c>
      <c r="AA450" s="174"/>
      <c r="AB450" s="174"/>
      <c r="AC450" s="174"/>
      <c r="AD450" s="174"/>
      <c r="AE450" s="174"/>
      <c r="AF450" s="174"/>
      <c r="AG450" s="174"/>
      <c r="AH450" s="174"/>
      <c r="AI450" s="174"/>
      <c r="AJ450" s="174"/>
      <c r="AK450" s="174"/>
      <c r="AL450" s="174"/>
    </row>
    <row r="451" spans="1:38" s="107" customFormat="1">
      <c r="A451" s="174"/>
      <c r="B451" s="182" t="s">
        <v>1025</v>
      </c>
      <c r="C451" s="132">
        <v>1996</v>
      </c>
      <c r="D451" s="174"/>
      <c r="E451" s="180" t="s">
        <v>49</v>
      </c>
      <c r="F451" s="174"/>
      <c r="G451" s="174"/>
      <c r="H451" s="182" t="s">
        <v>146</v>
      </c>
      <c r="I451" s="174"/>
      <c r="J451" s="101" t="s">
        <v>1034</v>
      </c>
      <c r="K451" s="98" t="s">
        <v>1036</v>
      </c>
      <c r="L451" s="182" t="s">
        <v>1031</v>
      </c>
      <c r="M451" s="174"/>
      <c r="N451" s="174"/>
      <c r="O451" s="182" t="s">
        <v>1027</v>
      </c>
      <c r="P451" s="174"/>
      <c r="Q451" s="174"/>
      <c r="R451" s="174"/>
      <c r="S451" s="174">
        <v>93.68</v>
      </c>
      <c r="T451" s="174"/>
      <c r="U451" s="174">
        <f>+S451</f>
        <v>93.68</v>
      </c>
      <c r="V451" s="174">
        <f>3438.2/2</f>
        <v>1719.1</v>
      </c>
      <c r="W451" s="174"/>
      <c r="X451" s="101">
        <f t="shared" si="28"/>
        <v>0.93680000000000008</v>
      </c>
      <c r="Y451" s="230">
        <f>+V451</f>
        <v>1719.1</v>
      </c>
      <c r="Z451" s="106" t="str">
        <f t="shared" si="29"/>
        <v>F</v>
      </c>
      <c r="AA451" s="174"/>
      <c r="AB451" s="174"/>
      <c r="AC451" s="174"/>
      <c r="AD451" s="174"/>
      <c r="AE451" s="174"/>
      <c r="AF451" s="174"/>
      <c r="AG451" s="174"/>
      <c r="AH451" s="174"/>
      <c r="AI451" s="174"/>
      <c r="AJ451" s="174"/>
      <c r="AK451" s="174"/>
      <c r="AL451" s="174"/>
    </row>
    <row r="452" spans="1:38" s="107" customFormat="1">
      <c r="A452" s="97">
        <v>173</v>
      </c>
      <c r="B452" s="98" t="s">
        <v>585</v>
      </c>
      <c r="C452" s="98">
        <v>2011</v>
      </c>
      <c r="D452" s="108" t="s">
        <v>636</v>
      </c>
      <c r="E452" s="99" t="s">
        <v>638</v>
      </c>
      <c r="F452" s="100" t="s">
        <v>665</v>
      </c>
      <c r="G452" s="98" t="s">
        <v>595</v>
      </c>
      <c r="H452" s="98" t="s">
        <v>146</v>
      </c>
      <c r="I452" s="98"/>
      <c r="J452" s="101" t="s">
        <v>1034</v>
      </c>
      <c r="K452" s="98" t="s">
        <v>1038</v>
      </c>
      <c r="L452" s="98" t="s">
        <v>663</v>
      </c>
      <c r="M452" s="109"/>
      <c r="N452" s="109"/>
      <c r="O452" s="98" t="s">
        <v>666</v>
      </c>
      <c r="P452" s="103"/>
      <c r="Q452" s="103"/>
      <c r="R452" s="98"/>
      <c r="S452" s="98"/>
      <c r="T452" s="98"/>
      <c r="U452" s="104">
        <v>0.93799999999999994</v>
      </c>
      <c r="V452" s="175"/>
      <c r="W452" s="175"/>
      <c r="X452" s="101">
        <f t="shared" si="28"/>
        <v>0.93799999999999994</v>
      </c>
      <c r="Y452" s="221">
        <v>1679</v>
      </c>
      <c r="Z452" s="106" t="str">
        <f t="shared" si="29"/>
        <v>F</v>
      </c>
      <c r="AA452" s="174"/>
      <c r="AB452" s="174"/>
      <c r="AC452" s="174"/>
      <c r="AD452" s="174"/>
      <c r="AE452" s="174"/>
      <c r="AF452" s="174"/>
      <c r="AG452" s="174"/>
      <c r="AH452" s="174"/>
      <c r="AI452" s="174"/>
      <c r="AJ452" s="174"/>
      <c r="AK452" s="174"/>
      <c r="AL452" s="174"/>
    </row>
    <row r="453" spans="1:38" s="107" customFormat="1">
      <c r="A453" s="97">
        <v>172</v>
      </c>
      <c r="B453" s="98" t="s">
        <v>585</v>
      </c>
      <c r="C453" s="98">
        <v>2010</v>
      </c>
      <c r="D453" s="98" t="s">
        <v>586</v>
      </c>
      <c r="E453" s="99" t="s">
        <v>589</v>
      </c>
      <c r="F453" s="100">
        <v>40219</v>
      </c>
      <c r="G453" s="98" t="s">
        <v>590</v>
      </c>
      <c r="H453" s="98" t="s">
        <v>146</v>
      </c>
      <c r="I453" s="98"/>
      <c r="J453" s="101" t="s">
        <v>1034</v>
      </c>
      <c r="K453" s="98" t="s">
        <v>1035</v>
      </c>
      <c r="L453" s="98" t="s">
        <v>593</v>
      </c>
      <c r="M453" s="102" t="s">
        <v>233</v>
      </c>
      <c r="N453" s="102" t="s">
        <v>594</v>
      </c>
      <c r="O453" s="98"/>
      <c r="P453" s="103"/>
      <c r="Q453" s="103"/>
      <c r="R453" s="98"/>
      <c r="S453" s="98"/>
      <c r="T453" s="98"/>
      <c r="U453" s="103">
        <v>0.93899999999999995</v>
      </c>
      <c r="V453" s="103"/>
      <c r="W453" s="103"/>
      <c r="X453" s="101">
        <f t="shared" si="28"/>
        <v>0.93899999999999995</v>
      </c>
      <c r="Y453" s="125">
        <v>1801</v>
      </c>
      <c r="Z453" s="106" t="str">
        <f t="shared" si="29"/>
        <v>F</v>
      </c>
      <c r="AA453" s="174"/>
      <c r="AB453" s="174"/>
      <c r="AC453" s="174"/>
      <c r="AD453" s="174"/>
      <c r="AE453" s="174"/>
      <c r="AF453" s="174"/>
      <c r="AG453" s="174"/>
      <c r="AH453" s="174"/>
      <c r="AI453" s="174"/>
      <c r="AJ453" s="174"/>
      <c r="AK453" s="174"/>
      <c r="AL453" s="174"/>
    </row>
    <row r="454" spans="1:38" s="107" customFormat="1">
      <c r="A454" s="97">
        <v>172</v>
      </c>
      <c r="B454" s="98" t="s">
        <v>585</v>
      </c>
      <c r="C454" s="98">
        <v>2010</v>
      </c>
      <c r="D454" s="98" t="s">
        <v>586</v>
      </c>
      <c r="E454" s="99" t="s">
        <v>589</v>
      </c>
      <c r="F454" s="100">
        <v>40221</v>
      </c>
      <c r="G454" s="98" t="s">
        <v>595</v>
      </c>
      <c r="H454" s="98" t="s">
        <v>146</v>
      </c>
      <c r="I454" s="98"/>
      <c r="J454" s="101" t="s">
        <v>1034</v>
      </c>
      <c r="K454" s="98" t="s">
        <v>1038</v>
      </c>
      <c r="L454" s="98" t="s">
        <v>599</v>
      </c>
      <c r="M454" s="102" t="s">
        <v>600</v>
      </c>
      <c r="N454" s="102" t="s">
        <v>601</v>
      </c>
      <c r="O454" s="98"/>
      <c r="P454" s="103"/>
      <c r="Q454" s="103"/>
      <c r="R454" s="98"/>
      <c r="S454" s="98"/>
      <c r="T454" s="98"/>
      <c r="U454" s="103">
        <v>0.93899999999999995</v>
      </c>
      <c r="V454" s="103"/>
      <c r="W454" s="103"/>
      <c r="X454" s="101">
        <f t="shared" si="28"/>
        <v>0.93899999999999995</v>
      </c>
      <c r="Y454" s="125">
        <v>1724</v>
      </c>
      <c r="Z454" s="106" t="str">
        <f t="shared" si="29"/>
        <v>F</v>
      </c>
      <c r="AA454" s="174"/>
      <c r="AB454" s="174"/>
      <c r="AC454" s="174"/>
      <c r="AD454" s="174"/>
      <c r="AE454" s="174"/>
      <c r="AF454" s="174"/>
      <c r="AG454" s="174"/>
      <c r="AH454" s="174"/>
      <c r="AI454" s="174"/>
      <c r="AJ454" s="174"/>
      <c r="AK454" s="174"/>
      <c r="AL454" s="174"/>
    </row>
    <row r="455" spans="1:38" s="107" customFormat="1">
      <c r="A455" s="97">
        <v>203</v>
      </c>
      <c r="B455" s="123" t="s">
        <v>940</v>
      </c>
      <c r="C455" s="98">
        <v>2011</v>
      </c>
      <c r="D455" s="123" t="s">
        <v>941</v>
      </c>
      <c r="E455" s="99" t="s">
        <v>20</v>
      </c>
      <c r="F455" s="98">
        <v>2009</v>
      </c>
      <c r="G455" s="98" t="s">
        <v>326</v>
      </c>
      <c r="H455" s="98"/>
      <c r="I455" s="98"/>
      <c r="J455" s="174" t="s">
        <v>1034</v>
      </c>
      <c r="K455" s="98" t="s">
        <v>1035</v>
      </c>
      <c r="L455" s="98" t="s">
        <v>232</v>
      </c>
      <c r="M455" s="98"/>
      <c r="N455" s="98"/>
      <c r="O455" s="98">
        <v>59</v>
      </c>
      <c r="P455" s="98"/>
      <c r="Q455" s="98"/>
      <c r="R455" s="98"/>
      <c r="S455" s="98"/>
      <c r="T455" s="98"/>
      <c r="U455" s="98">
        <v>0.94</v>
      </c>
      <c r="V455" s="98"/>
      <c r="W455" s="98"/>
      <c r="X455" s="101">
        <f t="shared" si="28"/>
        <v>0.94</v>
      </c>
      <c r="Y455" s="111">
        <v>1876</v>
      </c>
      <c r="Z455" s="106" t="str">
        <f t="shared" si="29"/>
        <v>F</v>
      </c>
      <c r="AA455" s="174"/>
      <c r="AB455" s="174"/>
      <c r="AC455" s="174"/>
      <c r="AD455" s="174"/>
      <c r="AE455" s="174"/>
      <c r="AF455" s="174"/>
      <c r="AG455" s="174"/>
      <c r="AH455" s="174"/>
      <c r="AI455" s="174"/>
      <c r="AJ455" s="174"/>
      <c r="AK455" s="174"/>
      <c r="AL455" s="174"/>
    </row>
    <row r="456" spans="1:38" s="107" customFormat="1">
      <c r="A456" s="97">
        <v>172</v>
      </c>
      <c r="B456" s="98" t="s">
        <v>585</v>
      </c>
      <c r="C456" s="98">
        <v>2010</v>
      </c>
      <c r="D456" s="98" t="s">
        <v>586</v>
      </c>
      <c r="E456" s="99" t="s">
        <v>589</v>
      </c>
      <c r="F456" s="100">
        <v>40220</v>
      </c>
      <c r="G456" s="98" t="s">
        <v>595</v>
      </c>
      <c r="H456" s="98" t="s">
        <v>146</v>
      </c>
      <c r="I456" s="98"/>
      <c r="J456" s="101" t="s">
        <v>1034</v>
      </c>
      <c r="K456" s="98" t="s">
        <v>1038</v>
      </c>
      <c r="L456" s="98" t="s">
        <v>596</v>
      </c>
      <c r="M456" s="102" t="s">
        <v>597</v>
      </c>
      <c r="N456" s="102" t="s">
        <v>598</v>
      </c>
      <c r="O456" s="98"/>
      <c r="P456" s="103"/>
      <c r="Q456" s="103"/>
      <c r="R456" s="98"/>
      <c r="S456" s="98"/>
      <c r="T456" s="98"/>
      <c r="U456" s="103">
        <v>0.94399999999999995</v>
      </c>
      <c r="V456" s="103"/>
      <c r="W456" s="103"/>
      <c r="X456" s="101">
        <f t="shared" si="28"/>
        <v>0.94399999999999995</v>
      </c>
      <c r="Y456" s="125">
        <v>1739</v>
      </c>
      <c r="Z456" s="106" t="str">
        <f t="shared" si="29"/>
        <v>F</v>
      </c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</row>
    <row r="457" spans="1:38" s="107" customFormat="1">
      <c r="A457" s="97">
        <v>172</v>
      </c>
      <c r="B457" s="98" t="s">
        <v>585</v>
      </c>
      <c r="C457" s="98">
        <v>2010</v>
      </c>
      <c r="D457" s="98" t="s">
        <v>586</v>
      </c>
      <c r="E457" s="99" t="s">
        <v>589</v>
      </c>
      <c r="F457" s="100">
        <v>40218</v>
      </c>
      <c r="G457" s="98" t="s">
        <v>590</v>
      </c>
      <c r="H457" s="98" t="s">
        <v>146</v>
      </c>
      <c r="I457" s="98"/>
      <c r="J457" s="101" t="s">
        <v>1034</v>
      </c>
      <c r="K457" s="98" t="s">
        <v>1065</v>
      </c>
      <c r="L457" s="98" t="s">
        <v>591</v>
      </c>
      <c r="M457" s="109" t="s">
        <v>592</v>
      </c>
      <c r="N457" s="109"/>
      <c r="O457" s="98"/>
      <c r="P457" s="98"/>
      <c r="Q457" s="98"/>
      <c r="R457" s="98"/>
      <c r="S457" s="98"/>
      <c r="T457" s="98"/>
      <c r="U457" s="103">
        <v>0.94599999999999995</v>
      </c>
      <c r="V457" s="103"/>
      <c r="W457" s="103"/>
      <c r="X457" s="101">
        <f t="shared" si="28"/>
        <v>0.94599999999999995</v>
      </c>
      <c r="Y457" s="125">
        <v>1762</v>
      </c>
      <c r="Z457" s="106" t="str">
        <f t="shared" si="29"/>
        <v>F</v>
      </c>
      <c r="AA457" s="174"/>
      <c r="AB457" s="174"/>
      <c r="AC457" s="174"/>
      <c r="AD457" s="174"/>
      <c r="AE457" s="174"/>
      <c r="AF457" s="174"/>
      <c r="AG457" s="174"/>
      <c r="AH457" s="174"/>
      <c r="AI457" s="174"/>
      <c r="AJ457" s="174"/>
      <c r="AK457" s="174"/>
      <c r="AL457" s="174"/>
    </row>
    <row r="458" spans="1:38" s="107" customFormat="1">
      <c r="A458" s="97">
        <v>173</v>
      </c>
      <c r="B458" s="98" t="s">
        <v>585</v>
      </c>
      <c r="C458" s="98">
        <v>2011</v>
      </c>
      <c r="D458" s="108" t="s">
        <v>636</v>
      </c>
      <c r="E458" s="99" t="s">
        <v>638</v>
      </c>
      <c r="F458" s="100" t="s">
        <v>673</v>
      </c>
      <c r="G458" s="98" t="s">
        <v>674</v>
      </c>
      <c r="H458" s="98" t="s">
        <v>146</v>
      </c>
      <c r="I458" s="98"/>
      <c r="J458" s="101" t="s">
        <v>1034</v>
      </c>
      <c r="K458" s="98" t="s">
        <v>1038</v>
      </c>
      <c r="L458" s="98" t="s">
        <v>675</v>
      </c>
      <c r="M458" s="109"/>
      <c r="N458" s="109"/>
      <c r="O458" s="98" t="s">
        <v>676</v>
      </c>
      <c r="P458" s="103"/>
      <c r="Q458" s="103"/>
      <c r="R458" s="98"/>
      <c r="S458" s="98"/>
      <c r="T458" s="98"/>
      <c r="U458" s="104">
        <v>0.94699999999999995</v>
      </c>
      <c r="V458" s="175"/>
      <c r="W458" s="175"/>
      <c r="X458" s="101">
        <f t="shared" si="28"/>
        <v>0.94699999999999995</v>
      </c>
      <c r="Y458" s="221">
        <v>1705</v>
      </c>
      <c r="Z458" s="106" t="str">
        <f t="shared" si="29"/>
        <v>F</v>
      </c>
      <c r="AA458" s="174"/>
      <c r="AB458" s="174"/>
      <c r="AC458" s="174"/>
      <c r="AD458" s="174"/>
      <c r="AE458" s="174"/>
      <c r="AF458" s="174"/>
      <c r="AG458" s="174"/>
      <c r="AH458" s="174"/>
      <c r="AI458" s="174"/>
      <c r="AJ458" s="174"/>
      <c r="AK458" s="174"/>
      <c r="AL458" s="174"/>
    </row>
    <row r="459" spans="1:38" s="107" customFormat="1">
      <c r="A459" s="97">
        <v>172</v>
      </c>
      <c r="B459" s="98" t="s">
        <v>585</v>
      </c>
      <c r="C459" s="98">
        <v>2010</v>
      </c>
      <c r="D459" s="98" t="s">
        <v>586</v>
      </c>
      <c r="E459" s="99" t="s">
        <v>589</v>
      </c>
      <c r="F459" s="100">
        <v>40222</v>
      </c>
      <c r="G459" s="98" t="s">
        <v>595</v>
      </c>
      <c r="H459" s="98" t="s">
        <v>146</v>
      </c>
      <c r="I459" s="98"/>
      <c r="J459" s="101" t="s">
        <v>1034</v>
      </c>
      <c r="K459" s="98" t="s">
        <v>1066</v>
      </c>
      <c r="L459" s="98" t="s">
        <v>602</v>
      </c>
      <c r="M459" s="102" t="s">
        <v>603</v>
      </c>
      <c r="N459" s="102" t="s">
        <v>604</v>
      </c>
      <c r="O459" s="98"/>
      <c r="P459" s="103"/>
      <c r="Q459" s="103"/>
      <c r="R459" s="98"/>
      <c r="S459" s="98"/>
      <c r="T459" s="98"/>
      <c r="U459" s="103">
        <v>0.94799999999999995</v>
      </c>
      <c r="V459" s="103"/>
      <c r="W459" s="103"/>
      <c r="X459" s="101">
        <f t="shared" si="28"/>
        <v>0.94799999999999995</v>
      </c>
      <c r="Y459" s="125">
        <v>1837</v>
      </c>
      <c r="Z459" s="106" t="str">
        <f t="shared" si="29"/>
        <v>F</v>
      </c>
      <c r="AA459" s="174"/>
      <c r="AB459" s="174"/>
      <c r="AC459" s="174"/>
      <c r="AD459" s="174"/>
      <c r="AE459" s="174"/>
      <c r="AF459" s="174"/>
      <c r="AG459" s="174"/>
      <c r="AH459" s="174"/>
      <c r="AI459" s="174"/>
      <c r="AJ459" s="174"/>
      <c r="AK459" s="174"/>
      <c r="AL459" s="174"/>
    </row>
    <row r="460" spans="1:38" s="107" customFormat="1">
      <c r="A460" s="97">
        <v>173</v>
      </c>
      <c r="B460" s="98" t="s">
        <v>585</v>
      </c>
      <c r="C460" s="98">
        <v>2011</v>
      </c>
      <c r="D460" s="108" t="s">
        <v>636</v>
      </c>
      <c r="E460" s="99" t="s">
        <v>638</v>
      </c>
      <c r="F460" s="100" t="s">
        <v>662</v>
      </c>
      <c r="G460" s="98" t="s">
        <v>595</v>
      </c>
      <c r="H460" s="98" t="s">
        <v>146</v>
      </c>
      <c r="I460" s="98"/>
      <c r="J460" s="101" t="s">
        <v>1034</v>
      </c>
      <c r="K460" s="98" t="s">
        <v>1038</v>
      </c>
      <c r="L460" s="98" t="s">
        <v>663</v>
      </c>
      <c r="M460" s="109"/>
      <c r="N460" s="109"/>
      <c r="O460" s="98" t="s">
        <v>664</v>
      </c>
      <c r="P460" s="103"/>
      <c r="Q460" s="103"/>
      <c r="R460" s="98"/>
      <c r="S460" s="98"/>
      <c r="T460" s="98"/>
      <c r="U460" s="104">
        <v>0.95</v>
      </c>
      <c r="V460" s="175"/>
      <c r="W460" s="175"/>
      <c r="X460" s="101">
        <f t="shared" si="28"/>
        <v>0.95</v>
      </c>
      <c r="Y460" s="221">
        <v>1709</v>
      </c>
      <c r="Z460" s="106" t="str">
        <f t="shared" si="29"/>
        <v>F</v>
      </c>
      <c r="AA460" s="174"/>
      <c r="AB460" s="174"/>
      <c r="AC460" s="174"/>
      <c r="AD460" s="174"/>
      <c r="AE460" s="174"/>
      <c r="AF460" s="174"/>
      <c r="AG460" s="174"/>
      <c r="AH460" s="174"/>
      <c r="AI460" s="174"/>
      <c r="AJ460" s="174"/>
      <c r="AK460" s="174"/>
      <c r="AL460" s="174"/>
    </row>
    <row r="461" spans="1:38" s="107" customFormat="1">
      <c r="A461" s="97">
        <v>172</v>
      </c>
      <c r="B461" s="98" t="s">
        <v>585</v>
      </c>
      <c r="C461" s="98">
        <v>2010</v>
      </c>
      <c r="D461" s="98" t="s">
        <v>586</v>
      </c>
      <c r="E461" s="99" t="s">
        <v>589</v>
      </c>
      <c r="F461" s="100">
        <v>40223</v>
      </c>
      <c r="G461" s="98" t="s">
        <v>595</v>
      </c>
      <c r="H461" s="98" t="s">
        <v>146</v>
      </c>
      <c r="I461" s="98"/>
      <c r="J461" s="101" t="s">
        <v>1034</v>
      </c>
      <c r="K461" s="98" t="s">
        <v>1043</v>
      </c>
      <c r="L461" s="98" t="s">
        <v>605</v>
      </c>
      <c r="M461" s="102" t="s">
        <v>606</v>
      </c>
      <c r="N461" s="102" t="s">
        <v>607</v>
      </c>
      <c r="O461" s="98"/>
      <c r="P461" s="103"/>
      <c r="Q461" s="103"/>
      <c r="R461" s="98"/>
      <c r="S461" s="98"/>
      <c r="T461" s="98"/>
      <c r="U461" s="103">
        <v>0.95199999999999996</v>
      </c>
      <c r="V461" s="103"/>
      <c r="W461" s="103"/>
      <c r="X461" s="101">
        <f t="shared" si="28"/>
        <v>0.95199999999999996</v>
      </c>
      <c r="Y461" s="125">
        <v>1769</v>
      </c>
      <c r="Z461" s="106" t="str">
        <f t="shared" si="29"/>
        <v>F</v>
      </c>
      <c r="AA461" s="174"/>
      <c r="AB461" s="174"/>
      <c r="AC461" s="174"/>
      <c r="AD461" s="174"/>
      <c r="AE461" s="174"/>
      <c r="AF461" s="174"/>
      <c r="AG461" s="174"/>
      <c r="AH461" s="174"/>
      <c r="AI461" s="174"/>
      <c r="AJ461" s="174"/>
      <c r="AK461" s="174"/>
      <c r="AL461" s="174"/>
    </row>
    <row r="462" spans="1:38" s="107" customFormat="1">
      <c r="A462" s="97">
        <v>66</v>
      </c>
      <c r="B462" s="103" t="s">
        <v>45</v>
      </c>
      <c r="C462" s="103">
        <v>1989</v>
      </c>
      <c r="D462" s="103" t="s">
        <v>187</v>
      </c>
      <c r="E462" s="99" t="s">
        <v>49</v>
      </c>
      <c r="F462" s="127">
        <v>31593</v>
      </c>
      <c r="G462" s="98" t="s">
        <v>190</v>
      </c>
      <c r="H462" s="98" t="s">
        <v>146</v>
      </c>
      <c r="I462" s="98"/>
      <c r="J462" s="98" t="s">
        <v>1034</v>
      </c>
      <c r="K462" s="98" t="s">
        <v>166</v>
      </c>
      <c r="L462" s="98" t="s">
        <v>166</v>
      </c>
      <c r="M462" s="98"/>
      <c r="N462" s="98"/>
      <c r="O462" s="98" t="s">
        <v>191</v>
      </c>
      <c r="P462" s="98"/>
      <c r="Q462" s="98"/>
      <c r="R462" s="98"/>
      <c r="S462" s="98"/>
      <c r="T462" s="98"/>
      <c r="U462" s="98"/>
      <c r="V462" s="98"/>
      <c r="W462" s="98"/>
      <c r="X462" s="101" t="str">
        <f t="shared" si="28"/>
        <v/>
      </c>
      <c r="Y462" s="111">
        <v>1654</v>
      </c>
      <c r="Z462" s="106" t="s">
        <v>1192</v>
      </c>
      <c r="AA462" s="174"/>
      <c r="AB462" s="174"/>
      <c r="AC462" s="174"/>
      <c r="AD462" s="174"/>
      <c r="AE462" s="174"/>
      <c r="AF462" s="174"/>
      <c r="AG462" s="174"/>
      <c r="AH462" s="174"/>
      <c r="AI462" s="174"/>
      <c r="AJ462" s="174"/>
      <c r="AK462" s="174"/>
      <c r="AL462" s="174"/>
    </row>
    <row r="463" spans="1:38" s="107" customFormat="1">
      <c r="A463" s="97">
        <v>66</v>
      </c>
      <c r="B463" s="103" t="s">
        <v>45</v>
      </c>
      <c r="C463" s="103">
        <v>1989</v>
      </c>
      <c r="D463" s="103" t="s">
        <v>187</v>
      </c>
      <c r="E463" s="99" t="s">
        <v>49</v>
      </c>
      <c r="F463" s="98" t="s">
        <v>195</v>
      </c>
      <c r="G463" s="98" t="s">
        <v>190</v>
      </c>
      <c r="H463" s="98" t="s">
        <v>146</v>
      </c>
      <c r="I463" s="98"/>
      <c r="J463" s="98" t="s">
        <v>1034</v>
      </c>
      <c r="K463" s="98" t="s">
        <v>1065</v>
      </c>
      <c r="L463" s="98" t="s">
        <v>196</v>
      </c>
      <c r="M463" s="98"/>
      <c r="N463" s="98"/>
      <c r="O463" s="98" t="s">
        <v>198</v>
      </c>
      <c r="P463" s="98"/>
      <c r="Q463" s="98"/>
      <c r="R463" s="98"/>
      <c r="S463" s="98"/>
      <c r="T463" s="98"/>
      <c r="U463" s="98"/>
      <c r="V463" s="98"/>
      <c r="W463" s="98"/>
      <c r="X463" s="101" t="str">
        <f t="shared" si="28"/>
        <v/>
      </c>
      <c r="Y463" s="111">
        <v>1715</v>
      </c>
      <c r="Z463" s="106" t="s">
        <v>1192</v>
      </c>
      <c r="AA463" s="174"/>
      <c r="AB463" s="174"/>
      <c r="AC463" s="174"/>
      <c r="AD463" s="174"/>
      <c r="AE463" s="174"/>
      <c r="AF463" s="174"/>
      <c r="AG463" s="174"/>
      <c r="AH463" s="174"/>
      <c r="AI463" s="174"/>
      <c r="AJ463" s="174"/>
      <c r="AK463" s="174"/>
      <c r="AL463" s="174"/>
    </row>
    <row r="464" spans="1:38" s="107" customFormat="1">
      <c r="A464" s="97">
        <v>66</v>
      </c>
      <c r="B464" s="103" t="s">
        <v>45</v>
      </c>
      <c r="C464" s="103">
        <v>1989</v>
      </c>
      <c r="D464" s="103" t="s">
        <v>187</v>
      </c>
      <c r="E464" s="99" t="s">
        <v>49</v>
      </c>
      <c r="F464" s="98" t="s">
        <v>192</v>
      </c>
      <c r="G464" s="98" t="s">
        <v>190</v>
      </c>
      <c r="H464" s="98" t="s">
        <v>146</v>
      </c>
      <c r="I464" s="98"/>
      <c r="J464" s="98" t="s">
        <v>1034</v>
      </c>
      <c r="K464" s="98" t="s">
        <v>1035</v>
      </c>
      <c r="L464" s="98" t="s">
        <v>193</v>
      </c>
      <c r="M464" s="98"/>
      <c r="N464" s="98"/>
      <c r="O464" s="98" t="s">
        <v>200</v>
      </c>
      <c r="P464" s="98"/>
      <c r="Q464" s="98"/>
      <c r="R464" s="98"/>
      <c r="S464" s="98"/>
      <c r="T464" s="98"/>
      <c r="U464" s="98"/>
      <c r="V464" s="98"/>
      <c r="W464" s="98"/>
      <c r="X464" s="101" t="str">
        <f t="shared" si="28"/>
        <v/>
      </c>
      <c r="Y464" s="111">
        <v>1650</v>
      </c>
      <c r="Z464" s="106" t="s">
        <v>1192</v>
      </c>
      <c r="AA464" s="174"/>
      <c r="AB464" s="174"/>
      <c r="AC464" s="174"/>
      <c r="AD464" s="174"/>
      <c r="AE464" s="174"/>
      <c r="AF464" s="174"/>
      <c r="AG464" s="174"/>
      <c r="AH464" s="174"/>
      <c r="AI464" s="174"/>
      <c r="AJ464" s="174"/>
      <c r="AK464" s="174"/>
      <c r="AL464" s="174"/>
    </row>
    <row r="465" spans="1:38" s="107" customFormat="1">
      <c r="A465" s="97">
        <v>66</v>
      </c>
      <c r="B465" s="103" t="s">
        <v>45</v>
      </c>
      <c r="C465" s="103">
        <v>1989</v>
      </c>
      <c r="D465" s="103" t="s">
        <v>187</v>
      </c>
      <c r="E465" s="99" t="s">
        <v>49</v>
      </c>
      <c r="F465" s="98" t="s">
        <v>192</v>
      </c>
      <c r="G465" s="98" t="s">
        <v>190</v>
      </c>
      <c r="H465" s="98" t="s">
        <v>146</v>
      </c>
      <c r="I465" s="98"/>
      <c r="J465" s="98" t="s">
        <v>1034</v>
      </c>
      <c r="K465" s="98" t="s">
        <v>1035</v>
      </c>
      <c r="L465" s="98" t="s">
        <v>193</v>
      </c>
      <c r="M465" s="98"/>
      <c r="N465" s="98"/>
      <c r="O465" s="98" t="s">
        <v>199</v>
      </c>
      <c r="P465" s="98"/>
      <c r="Q465" s="98"/>
      <c r="R465" s="98"/>
      <c r="S465" s="98"/>
      <c r="T465" s="98"/>
      <c r="U465" s="98"/>
      <c r="V465" s="98"/>
      <c r="W465" s="98"/>
      <c r="X465" s="101" t="str">
        <f t="shared" si="28"/>
        <v/>
      </c>
      <c r="Y465" s="111">
        <v>1681</v>
      </c>
      <c r="Z465" s="106" t="s">
        <v>1192</v>
      </c>
      <c r="AA465" s="174"/>
      <c r="AB465" s="174"/>
      <c r="AC465" s="174"/>
      <c r="AD465" s="174"/>
      <c r="AE465" s="174"/>
      <c r="AF465" s="174"/>
      <c r="AG465" s="174"/>
      <c r="AH465" s="174"/>
      <c r="AI465" s="174"/>
      <c r="AJ465" s="174"/>
      <c r="AK465" s="174"/>
      <c r="AL465" s="174"/>
    </row>
    <row r="466" spans="1:38" s="107" customFormat="1">
      <c r="A466" s="97">
        <v>66</v>
      </c>
      <c r="B466" s="103" t="s">
        <v>45</v>
      </c>
      <c r="C466" s="103">
        <v>1989</v>
      </c>
      <c r="D466" s="103" t="s">
        <v>187</v>
      </c>
      <c r="E466" s="99" t="s">
        <v>49</v>
      </c>
      <c r="F466" s="98" t="s">
        <v>192</v>
      </c>
      <c r="G466" s="98" t="s">
        <v>190</v>
      </c>
      <c r="H466" s="98" t="s">
        <v>146</v>
      </c>
      <c r="I466" s="98"/>
      <c r="J466" s="98" t="s">
        <v>1034</v>
      </c>
      <c r="K466" s="98" t="s">
        <v>1035</v>
      </c>
      <c r="L466" s="98" t="s">
        <v>193</v>
      </c>
      <c r="M466" s="98"/>
      <c r="N466" s="98"/>
      <c r="O466" s="98" t="s">
        <v>194</v>
      </c>
      <c r="P466" s="98"/>
      <c r="Q466" s="98"/>
      <c r="R466" s="98"/>
      <c r="S466" s="98"/>
      <c r="T466" s="98"/>
      <c r="U466" s="98"/>
      <c r="V466" s="98"/>
      <c r="W466" s="98"/>
      <c r="X466" s="101" t="str">
        <f t="shared" si="28"/>
        <v/>
      </c>
      <c r="Y466" s="111">
        <v>1690</v>
      </c>
      <c r="Z466" s="106" t="s">
        <v>1192</v>
      </c>
      <c r="AA466" s="174"/>
      <c r="AB466" s="174"/>
      <c r="AC466" s="174"/>
      <c r="AD466" s="174"/>
      <c r="AE466" s="174"/>
      <c r="AF466" s="174"/>
      <c r="AG466" s="174"/>
      <c r="AH466" s="174"/>
      <c r="AI466" s="174"/>
      <c r="AJ466" s="174"/>
      <c r="AK466" s="174"/>
      <c r="AL466" s="174"/>
    </row>
    <row r="467" spans="1:38" s="107" customFormat="1">
      <c r="A467" s="97">
        <v>86</v>
      </c>
      <c r="B467" s="103" t="s">
        <v>223</v>
      </c>
      <c r="C467" s="103">
        <v>1991</v>
      </c>
      <c r="D467" s="103" t="s">
        <v>224</v>
      </c>
      <c r="E467" s="99" t="s">
        <v>20</v>
      </c>
      <c r="F467" s="127">
        <v>33008</v>
      </c>
      <c r="G467" s="98" t="s">
        <v>227</v>
      </c>
      <c r="H467" s="98" t="s">
        <v>146</v>
      </c>
      <c r="I467" s="98"/>
      <c r="J467" s="98" t="s">
        <v>1034</v>
      </c>
      <c r="K467" s="98" t="s">
        <v>1065</v>
      </c>
      <c r="L467" s="98" t="s">
        <v>228</v>
      </c>
      <c r="M467" s="98" t="s">
        <v>229</v>
      </c>
      <c r="N467" s="98"/>
      <c r="O467" s="98">
        <v>28</v>
      </c>
      <c r="P467" s="98"/>
      <c r="Q467" s="98"/>
      <c r="R467" s="98"/>
      <c r="S467" s="98"/>
      <c r="T467" s="98"/>
      <c r="U467" s="98"/>
      <c r="V467" s="98"/>
      <c r="W467" s="98"/>
      <c r="X467" s="101" t="str">
        <f t="shared" si="28"/>
        <v/>
      </c>
      <c r="Y467" s="111">
        <v>1250.3</v>
      </c>
      <c r="Z467" s="106" t="str">
        <f t="shared" ref="Z467:Z497" si="30">IF(X467&lt;&gt;"",IF(X467&lt;0.9,"S","F"),"")</f>
        <v/>
      </c>
      <c r="AA467" s="174"/>
      <c r="AB467" s="174"/>
      <c r="AC467" s="174"/>
      <c r="AD467" s="174"/>
      <c r="AE467" s="174"/>
      <c r="AF467" s="174"/>
      <c r="AG467" s="174"/>
      <c r="AH467" s="174"/>
      <c r="AI467" s="174"/>
      <c r="AJ467" s="174"/>
      <c r="AK467" s="174"/>
      <c r="AL467" s="174"/>
    </row>
    <row r="468" spans="1:38" s="107" customFormat="1">
      <c r="A468" s="97">
        <v>86</v>
      </c>
      <c r="B468" s="103" t="s">
        <v>223</v>
      </c>
      <c r="C468" s="103">
        <v>1991</v>
      </c>
      <c r="D468" s="103" t="s">
        <v>224</v>
      </c>
      <c r="E468" s="99" t="s">
        <v>20</v>
      </c>
      <c r="F468" s="127">
        <v>33008</v>
      </c>
      <c r="G468" s="98" t="s">
        <v>227</v>
      </c>
      <c r="H468" s="98" t="s">
        <v>146</v>
      </c>
      <c r="I468" s="98"/>
      <c r="J468" s="98" t="s">
        <v>1034</v>
      </c>
      <c r="K468" s="98" t="s">
        <v>1065</v>
      </c>
      <c r="L468" s="98" t="s">
        <v>228</v>
      </c>
      <c r="M468" s="98" t="s">
        <v>229</v>
      </c>
      <c r="N468" s="98"/>
      <c r="O468" s="98">
        <v>25</v>
      </c>
      <c r="P468" s="98"/>
      <c r="Q468" s="98"/>
      <c r="R468" s="98"/>
      <c r="S468" s="98"/>
      <c r="T468" s="98"/>
      <c r="U468" s="98"/>
      <c r="V468" s="98"/>
      <c r="W468" s="98"/>
      <c r="X468" s="101" t="str">
        <f t="shared" si="28"/>
        <v/>
      </c>
      <c r="Y468" s="111">
        <v>1274</v>
      </c>
      <c r="Z468" s="106" t="str">
        <f t="shared" si="30"/>
        <v/>
      </c>
      <c r="AA468" s="174"/>
      <c r="AB468" s="174"/>
      <c r="AC468" s="174"/>
      <c r="AD468" s="174"/>
      <c r="AE468" s="174"/>
      <c r="AF468" s="174"/>
      <c r="AG468" s="174"/>
      <c r="AH468" s="174"/>
      <c r="AI468" s="174"/>
      <c r="AJ468" s="174"/>
      <c r="AK468" s="174"/>
      <c r="AL468" s="174"/>
    </row>
    <row r="469" spans="1:38" s="107" customFormat="1">
      <c r="A469" s="97">
        <v>86</v>
      </c>
      <c r="B469" s="103" t="s">
        <v>223</v>
      </c>
      <c r="C469" s="103">
        <v>1991</v>
      </c>
      <c r="D469" s="103" t="s">
        <v>224</v>
      </c>
      <c r="E469" s="99" t="s">
        <v>20</v>
      </c>
      <c r="F469" s="127">
        <v>33009</v>
      </c>
      <c r="G469" s="98" t="s">
        <v>227</v>
      </c>
      <c r="H469" s="98" t="s">
        <v>146</v>
      </c>
      <c r="I469" s="98"/>
      <c r="J469" s="98" t="s">
        <v>1034</v>
      </c>
      <c r="K469" s="98" t="s">
        <v>1065</v>
      </c>
      <c r="L469" s="98" t="s">
        <v>228</v>
      </c>
      <c r="M469" s="98" t="s">
        <v>229</v>
      </c>
      <c r="N469" s="98"/>
      <c r="O469" s="98">
        <v>31</v>
      </c>
      <c r="P469" s="98"/>
      <c r="Q469" s="98"/>
      <c r="R469" s="98"/>
      <c r="S469" s="98"/>
      <c r="T469" s="98"/>
      <c r="U469" s="98"/>
      <c r="V469" s="98"/>
      <c r="W469" s="98"/>
      <c r="X469" s="101" t="str">
        <f t="shared" si="28"/>
        <v/>
      </c>
      <c r="Y469" s="111">
        <v>1337.7</v>
      </c>
      <c r="Z469" s="106" t="str">
        <f t="shared" si="30"/>
        <v/>
      </c>
      <c r="AA469" s="174"/>
      <c r="AB469" s="174"/>
      <c r="AC469" s="174"/>
      <c r="AD469" s="174"/>
      <c r="AE469" s="174"/>
      <c r="AF469" s="174"/>
      <c r="AG469" s="174"/>
      <c r="AH469" s="174"/>
      <c r="AI469" s="174"/>
      <c r="AJ469" s="174"/>
      <c r="AK469" s="174"/>
      <c r="AL469" s="174"/>
    </row>
    <row r="470" spans="1:38" s="107" customFormat="1">
      <c r="A470" s="97">
        <v>86</v>
      </c>
      <c r="B470" s="103" t="s">
        <v>223</v>
      </c>
      <c r="C470" s="103">
        <v>1991</v>
      </c>
      <c r="D470" s="103" t="s">
        <v>224</v>
      </c>
      <c r="E470" s="99" t="s">
        <v>20</v>
      </c>
      <c r="F470" s="127">
        <v>33093</v>
      </c>
      <c r="G470" s="98" t="s">
        <v>227</v>
      </c>
      <c r="H470" s="98" t="s">
        <v>146</v>
      </c>
      <c r="I470" s="98"/>
      <c r="J470" s="98" t="s">
        <v>1034</v>
      </c>
      <c r="K470" s="98" t="s">
        <v>1065</v>
      </c>
      <c r="L470" s="98" t="s">
        <v>228</v>
      </c>
      <c r="M470" s="98" t="s">
        <v>229</v>
      </c>
      <c r="N470" s="98"/>
      <c r="O470" s="98">
        <v>37</v>
      </c>
      <c r="P470" s="98"/>
      <c r="Q470" s="98"/>
      <c r="R470" s="98"/>
      <c r="S470" s="98"/>
      <c r="T470" s="98"/>
      <c r="U470" s="98"/>
      <c r="V470" s="98"/>
      <c r="W470" s="98"/>
      <c r="X470" s="101" t="str">
        <f t="shared" si="28"/>
        <v/>
      </c>
      <c r="Y470" s="111">
        <v>1344</v>
      </c>
      <c r="Z470" s="106" t="str">
        <f t="shared" si="30"/>
        <v/>
      </c>
      <c r="AA470" s="174"/>
      <c r="AB470" s="174"/>
      <c r="AC470" s="174"/>
      <c r="AD470" s="174"/>
      <c r="AE470" s="174"/>
      <c r="AF470" s="174"/>
      <c r="AG470" s="174"/>
      <c r="AH470" s="174"/>
      <c r="AI470" s="174"/>
      <c r="AJ470" s="174"/>
      <c r="AK470" s="174"/>
      <c r="AL470" s="174"/>
    </row>
    <row r="471" spans="1:38" s="107" customFormat="1">
      <c r="A471" s="97">
        <v>86</v>
      </c>
      <c r="B471" s="103" t="s">
        <v>223</v>
      </c>
      <c r="C471" s="103">
        <v>1991</v>
      </c>
      <c r="D471" s="103" t="s">
        <v>224</v>
      </c>
      <c r="E471" s="99" t="s">
        <v>20</v>
      </c>
      <c r="F471" s="127">
        <v>32961</v>
      </c>
      <c r="G471" s="98" t="s">
        <v>227</v>
      </c>
      <c r="H471" s="98" t="s">
        <v>146</v>
      </c>
      <c r="I471" s="98"/>
      <c r="J471" s="98" t="s">
        <v>1034</v>
      </c>
      <c r="K471" s="98" t="s">
        <v>1065</v>
      </c>
      <c r="L471" s="98" t="s">
        <v>228</v>
      </c>
      <c r="M471" s="98" t="s">
        <v>229</v>
      </c>
      <c r="N471" s="98"/>
      <c r="O471" s="98">
        <v>14</v>
      </c>
      <c r="P471" s="98"/>
      <c r="Q471" s="98"/>
      <c r="R471" s="98"/>
      <c r="S471" s="98"/>
      <c r="T471" s="98"/>
      <c r="U471" s="98"/>
      <c r="V471" s="98"/>
      <c r="W471" s="98"/>
      <c r="X471" s="101" t="str">
        <f t="shared" ref="X471:X501" si="31">IF(R471&lt;&gt;0,IF(R471&gt;1,R471/100,R471),IF(U471&lt;&gt;0,IF(U471&gt;1,U471/100,U471),""))</f>
        <v/>
      </c>
      <c r="Y471" s="111">
        <v>1440.2</v>
      </c>
      <c r="Z471" s="106" t="str">
        <f t="shared" si="30"/>
        <v/>
      </c>
      <c r="AA471" s="174"/>
      <c r="AB471" s="174"/>
      <c r="AC471" s="174"/>
      <c r="AD471" s="174"/>
      <c r="AE471" s="174"/>
      <c r="AF471" s="174"/>
      <c r="AG471" s="174"/>
      <c r="AH471" s="174"/>
      <c r="AI471" s="174"/>
      <c r="AJ471" s="174"/>
      <c r="AK471" s="174"/>
      <c r="AL471" s="174"/>
    </row>
    <row r="472" spans="1:38" s="107" customFormat="1">
      <c r="A472" s="97">
        <v>86</v>
      </c>
      <c r="B472" s="103" t="s">
        <v>223</v>
      </c>
      <c r="C472" s="103">
        <v>1991</v>
      </c>
      <c r="D472" s="103" t="s">
        <v>224</v>
      </c>
      <c r="E472" s="99" t="s">
        <v>20</v>
      </c>
      <c r="F472" s="127">
        <v>32961</v>
      </c>
      <c r="G472" s="98" t="s">
        <v>227</v>
      </c>
      <c r="H472" s="98" t="s">
        <v>146</v>
      </c>
      <c r="I472" s="98"/>
      <c r="J472" s="98" t="s">
        <v>1034</v>
      </c>
      <c r="K472" s="98" t="s">
        <v>1065</v>
      </c>
      <c r="L472" s="98" t="s">
        <v>228</v>
      </c>
      <c r="M472" s="98" t="s">
        <v>229</v>
      </c>
      <c r="N472" s="98"/>
      <c r="O472" s="98">
        <v>18</v>
      </c>
      <c r="P472" s="98"/>
      <c r="Q472" s="98"/>
      <c r="R472" s="98"/>
      <c r="S472" s="98"/>
      <c r="T472" s="98"/>
      <c r="U472" s="98"/>
      <c r="V472" s="98"/>
      <c r="W472" s="98"/>
      <c r="X472" s="101" t="str">
        <f t="shared" si="31"/>
        <v/>
      </c>
      <c r="Y472" s="111">
        <v>1451.2</v>
      </c>
      <c r="Z472" s="106" t="str">
        <f t="shared" si="30"/>
        <v/>
      </c>
      <c r="AA472" s="174"/>
      <c r="AB472" s="174"/>
      <c r="AC472" s="174"/>
      <c r="AD472" s="174"/>
      <c r="AE472" s="174"/>
      <c r="AF472" s="174"/>
      <c r="AG472" s="174"/>
      <c r="AH472" s="174"/>
      <c r="AI472" s="174"/>
      <c r="AJ472" s="174"/>
      <c r="AK472" s="174"/>
      <c r="AL472" s="174"/>
    </row>
    <row r="473" spans="1:38" s="107" customFormat="1">
      <c r="A473" s="97">
        <v>86</v>
      </c>
      <c r="B473" s="103" t="s">
        <v>223</v>
      </c>
      <c r="C473" s="103">
        <v>1991</v>
      </c>
      <c r="D473" s="103" t="s">
        <v>224</v>
      </c>
      <c r="E473" s="99" t="s">
        <v>20</v>
      </c>
      <c r="F473" s="127">
        <v>33093</v>
      </c>
      <c r="G473" s="98" t="s">
        <v>227</v>
      </c>
      <c r="H473" s="98" t="s">
        <v>146</v>
      </c>
      <c r="I473" s="98"/>
      <c r="J473" s="98" t="s">
        <v>1034</v>
      </c>
      <c r="K473" s="98" t="s">
        <v>1065</v>
      </c>
      <c r="L473" s="98" t="s">
        <v>228</v>
      </c>
      <c r="M473" s="98" t="s">
        <v>229</v>
      </c>
      <c r="N473" s="98"/>
      <c r="O473" s="98">
        <v>40</v>
      </c>
      <c r="P473" s="98"/>
      <c r="Q473" s="98"/>
      <c r="R473" s="98"/>
      <c r="S473" s="98"/>
      <c r="T473" s="98"/>
      <c r="U473" s="98"/>
      <c r="V473" s="98"/>
      <c r="W473" s="98"/>
      <c r="X473" s="101" t="str">
        <f t="shared" si="31"/>
        <v/>
      </c>
      <c r="Y473" s="111">
        <v>1484.7</v>
      </c>
      <c r="Z473" s="106" t="str">
        <f t="shared" si="30"/>
        <v/>
      </c>
      <c r="AA473" s="174"/>
      <c r="AB473" s="174"/>
      <c r="AC473" s="174"/>
      <c r="AD473" s="174"/>
      <c r="AE473" s="174"/>
      <c r="AF473" s="174"/>
      <c r="AG473" s="174"/>
      <c r="AH473" s="174"/>
      <c r="AI473" s="174"/>
      <c r="AJ473" s="174"/>
      <c r="AK473" s="174"/>
      <c r="AL473" s="174"/>
    </row>
    <row r="474" spans="1:38" s="107" customFormat="1">
      <c r="A474" s="97">
        <v>86</v>
      </c>
      <c r="B474" s="103" t="s">
        <v>223</v>
      </c>
      <c r="C474" s="103">
        <v>1991</v>
      </c>
      <c r="D474" s="103" t="s">
        <v>224</v>
      </c>
      <c r="E474" s="99" t="s">
        <v>20</v>
      </c>
      <c r="F474" s="127">
        <v>33093</v>
      </c>
      <c r="G474" s="98" t="s">
        <v>227</v>
      </c>
      <c r="H474" s="98" t="s">
        <v>146</v>
      </c>
      <c r="I474" s="98"/>
      <c r="J474" s="98" t="s">
        <v>1034</v>
      </c>
      <c r="K474" s="98" t="s">
        <v>1065</v>
      </c>
      <c r="L474" s="98" t="s">
        <v>228</v>
      </c>
      <c r="M474" s="98" t="s">
        <v>229</v>
      </c>
      <c r="N474" s="98"/>
      <c r="O474" s="98">
        <v>42</v>
      </c>
      <c r="P474" s="98"/>
      <c r="Q474" s="98"/>
      <c r="R474" s="98"/>
      <c r="S474" s="98"/>
      <c r="T474" s="98"/>
      <c r="U474" s="98"/>
      <c r="V474" s="98"/>
      <c r="W474" s="98"/>
      <c r="X474" s="101" t="str">
        <f t="shared" si="31"/>
        <v/>
      </c>
      <c r="Y474" s="111">
        <v>1511.2</v>
      </c>
      <c r="Z474" s="106" t="str">
        <f t="shared" si="30"/>
        <v/>
      </c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  <c r="AL474" s="174"/>
    </row>
    <row r="475" spans="1:38" s="107" customFormat="1">
      <c r="A475" s="97">
        <v>86</v>
      </c>
      <c r="B475" s="103" t="s">
        <v>223</v>
      </c>
      <c r="C475" s="103">
        <v>1991</v>
      </c>
      <c r="D475" s="103" t="s">
        <v>224</v>
      </c>
      <c r="E475" s="99" t="s">
        <v>20</v>
      </c>
      <c r="F475" s="127">
        <v>32961</v>
      </c>
      <c r="G475" s="98" t="s">
        <v>227</v>
      </c>
      <c r="H475" s="98" t="s">
        <v>146</v>
      </c>
      <c r="I475" s="98"/>
      <c r="J475" s="98" t="s">
        <v>1034</v>
      </c>
      <c r="K475" s="98" t="s">
        <v>1065</v>
      </c>
      <c r="L475" s="98" t="s">
        <v>228</v>
      </c>
      <c r="M475" s="98" t="s">
        <v>229</v>
      </c>
      <c r="N475" s="98"/>
      <c r="O475" s="98">
        <v>12</v>
      </c>
      <c r="P475" s="98"/>
      <c r="Q475" s="98"/>
      <c r="R475" s="98"/>
      <c r="S475" s="98"/>
      <c r="T475" s="98"/>
      <c r="U475" s="98"/>
      <c r="V475" s="98"/>
      <c r="W475" s="98"/>
      <c r="X475" s="101" t="str">
        <f t="shared" si="31"/>
        <v/>
      </c>
      <c r="Y475" s="111">
        <v>1513.5</v>
      </c>
      <c r="Z475" s="106" t="str">
        <f t="shared" si="30"/>
        <v/>
      </c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</row>
    <row r="476" spans="1:38" s="107" customFormat="1">
      <c r="A476" s="97">
        <v>86</v>
      </c>
      <c r="B476" s="103" t="s">
        <v>223</v>
      </c>
      <c r="C476" s="103">
        <v>1991</v>
      </c>
      <c r="D476" s="103" t="s">
        <v>224</v>
      </c>
      <c r="E476" s="99" t="s">
        <v>20</v>
      </c>
      <c r="F476" s="127">
        <v>32857</v>
      </c>
      <c r="G476" s="98" t="s">
        <v>227</v>
      </c>
      <c r="H476" s="98" t="s">
        <v>146</v>
      </c>
      <c r="I476" s="98"/>
      <c r="J476" s="98" t="s">
        <v>1034</v>
      </c>
      <c r="K476" s="98" t="s">
        <v>1065</v>
      </c>
      <c r="L476" s="98" t="s">
        <v>228</v>
      </c>
      <c r="M476" s="98" t="s">
        <v>229</v>
      </c>
      <c r="N476" s="98"/>
      <c r="O476" s="98">
        <v>1</v>
      </c>
      <c r="P476" s="98"/>
      <c r="Q476" s="98"/>
      <c r="R476" s="98"/>
      <c r="S476" s="98"/>
      <c r="T476" s="98"/>
      <c r="U476" s="98"/>
      <c r="V476" s="98"/>
      <c r="W476" s="98"/>
      <c r="X476" s="101" t="str">
        <f t="shared" si="31"/>
        <v/>
      </c>
      <c r="Y476" s="111">
        <v>1519</v>
      </c>
      <c r="Z476" s="106" t="str">
        <f t="shared" si="30"/>
        <v/>
      </c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4"/>
      <c r="AK476" s="174"/>
      <c r="AL476" s="174"/>
    </row>
    <row r="477" spans="1:38" s="107" customFormat="1">
      <c r="A477" s="97">
        <v>86</v>
      </c>
      <c r="B477" s="103" t="s">
        <v>223</v>
      </c>
      <c r="C477" s="103">
        <v>1991</v>
      </c>
      <c r="D477" s="103" t="s">
        <v>224</v>
      </c>
      <c r="E477" s="99" t="s">
        <v>20</v>
      </c>
      <c r="F477" s="127">
        <v>32857</v>
      </c>
      <c r="G477" s="98" t="s">
        <v>227</v>
      </c>
      <c r="H477" s="98" t="s">
        <v>146</v>
      </c>
      <c r="I477" s="98"/>
      <c r="J477" s="98" t="s">
        <v>1034</v>
      </c>
      <c r="K477" s="98" t="s">
        <v>1065</v>
      </c>
      <c r="L477" s="98" t="s">
        <v>228</v>
      </c>
      <c r="M477" s="98" t="s">
        <v>229</v>
      </c>
      <c r="N477" s="98"/>
      <c r="O477" s="98">
        <v>6</v>
      </c>
      <c r="P477" s="98"/>
      <c r="Q477" s="98"/>
      <c r="R477" s="98"/>
      <c r="S477" s="98"/>
      <c r="T477" s="98"/>
      <c r="U477" s="98"/>
      <c r="V477" s="98"/>
      <c r="W477" s="98"/>
      <c r="X477" s="101" t="str">
        <f t="shared" si="31"/>
        <v/>
      </c>
      <c r="Y477" s="111">
        <v>1659</v>
      </c>
      <c r="Z477" s="106" t="str">
        <f t="shared" si="30"/>
        <v/>
      </c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4"/>
      <c r="AK477" s="174"/>
      <c r="AL477" s="174"/>
    </row>
    <row r="478" spans="1:38" s="107" customFormat="1">
      <c r="A478" s="97">
        <v>86</v>
      </c>
      <c r="B478" s="103" t="s">
        <v>223</v>
      </c>
      <c r="C478" s="103">
        <v>1991</v>
      </c>
      <c r="D478" s="103" t="s">
        <v>224</v>
      </c>
      <c r="E478" s="99" t="s">
        <v>20</v>
      </c>
      <c r="F478" s="127">
        <v>33093</v>
      </c>
      <c r="G478" s="98" t="s">
        <v>227</v>
      </c>
      <c r="H478" s="98" t="s">
        <v>146</v>
      </c>
      <c r="I478" s="98"/>
      <c r="J478" s="98" t="s">
        <v>1034</v>
      </c>
      <c r="K478" s="98" t="s">
        <v>1035</v>
      </c>
      <c r="L478" s="98" t="s">
        <v>232</v>
      </c>
      <c r="M478" s="98" t="s">
        <v>233</v>
      </c>
      <c r="N478" s="98"/>
      <c r="O478" s="98">
        <v>45</v>
      </c>
      <c r="P478" s="98"/>
      <c r="Q478" s="98"/>
      <c r="R478" s="98"/>
      <c r="S478" s="98"/>
      <c r="T478" s="98"/>
      <c r="U478" s="98"/>
      <c r="V478" s="98"/>
      <c r="W478" s="98"/>
      <c r="X478" s="101" t="str">
        <f t="shared" si="31"/>
        <v/>
      </c>
      <c r="Y478" s="111">
        <v>1452.8</v>
      </c>
      <c r="Z478" s="106" t="str">
        <f t="shared" si="30"/>
        <v/>
      </c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4"/>
      <c r="AK478" s="174"/>
      <c r="AL478" s="174"/>
    </row>
    <row r="479" spans="1:38" s="107" customFormat="1">
      <c r="A479" s="97">
        <v>86</v>
      </c>
      <c r="B479" s="103" t="s">
        <v>223</v>
      </c>
      <c r="C479" s="103">
        <v>1991</v>
      </c>
      <c r="D479" s="103" t="s">
        <v>224</v>
      </c>
      <c r="E479" s="99" t="s">
        <v>20</v>
      </c>
      <c r="F479" s="127">
        <v>33008</v>
      </c>
      <c r="G479" s="98" t="s">
        <v>227</v>
      </c>
      <c r="H479" s="98" t="s">
        <v>146</v>
      </c>
      <c r="I479" s="98"/>
      <c r="J479" s="98" t="s">
        <v>1034</v>
      </c>
      <c r="K479" s="98" t="s">
        <v>1035</v>
      </c>
      <c r="L479" s="98" t="s">
        <v>232</v>
      </c>
      <c r="M479" s="98" t="s">
        <v>233</v>
      </c>
      <c r="N479" s="98"/>
      <c r="O479" s="98">
        <v>22</v>
      </c>
      <c r="P479" s="98"/>
      <c r="Q479" s="98"/>
      <c r="R479" s="98"/>
      <c r="S479" s="98"/>
      <c r="T479" s="98"/>
      <c r="U479" s="98"/>
      <c r="V479" s="98"/>
      <c r="W479" s="98"/>
      <c r="X479" s="101" t="str">
        <f t="shared" si="31"/>
        <v/>
      </c>
      <c r="Y479" s="111">
        <v>1512.1</v>
      </c>
      <c r="Z479" s="106" t="str">
        <f t="shared" si="30"/>
        <v/>
      </c>
      <c r="AA479" s="174"/>
      <c r="AB479" s="174"/>
      <c r="AC479" s="174"/>
      <c r="AD479" s="174"/>
      <c r="AE479" s="174"/>
      <c r="AF479" s="174"/>
      <c r="AG479" s="174"/>
      <c r="AH479" s="174"/>
      <c r="AI479" s="174"/>
      <c r="AJ479" s="174"/>
      <c r="AK479" s="174"/>
      <c r="AL479" s="174"/>
    </row>
    <row r="480" spans="1:38" s="107" customFormat="1">
      <c r="A480" s="97">
        <v>86</v>
      </c>
      <c r="B480" s="103" t="s">
        <v>223</v>
      </c>
      <c r="C480" s="103">
        <v>1991</v>
      </c>
      <c r="D480" s="103" t="s">
        <v>224</v>
      </c>
      <c r="E480" s="99" t="s">
        <v>20</v>
      </c>
      <c r="F480" s="127">
        <v>33093</v>
      </c>
      <c r="G480" s="98" t="s">
        <v>227</v>
      </c>
      <c r="H480" s="98" t="s">
        <v>146</v>
      </c>
      <c r="I480" s="98"/>
      <c r="J480" s="98" t="s">
        <v>1034</v>
      </c>
      <c r="K480" s="98" t="s">
        <v>1035</v>
      </c>
      <c r="L480" s="98" t="s">
        <v>232</v>
      </c>
      <c r="M480" s="98" t="s">
        <v>233</v>
      </c>
      <c r="N480" s="98"/>
      <c r="O480" s="98">
        <v>36</v>
      </c>
      <c r="P480" s="98"/>
      <c r="Q480" s="98"/>
      <c r="R480" s="98"/>
      <c r="S480" s="98"/>
      <c r="T480" s="98"/>
      <c r="U480" s="98"/>
      <c r="V480" s="98"/>
      <c r="W480" s="98"/>
      <c r="X480" s="101" t="str">
        <f t="shared" si="31"/>
        <v/>
      </c>
      <c r="Y480" s="111">
        <v>1516.6</v>
      </c>
      <c r="Z480" s="106" t="str">
        <f t="shared" si="30"/>
        <v/>
      </c>
      <c r="AA480" s="174"/>
      <c r="AB480" s="174"/>
      <c r="AC480" s="174"/>
      <c r="AD480" s="174"/>
      <c r="AE480" s="174"/>
      <c r="AF480" s="174"/>
      <c r="AG480" s="174"/>
      <c r="AH480" s="174"/>
      <c r="AI480" s="174"/>
      <c r="AJ480" s="174"/>
      <c r="AK480" s="174"/>
      <c r="AL480" s="174"/>
    </row>
    <row r="481" spans="1:38" s="107" customFormat="1">
      <c r="A481" s="97">
        <v>86</v>
      </c>
      <c r="B481" s="103" t="s">
        <v>223</v>
      </c>
      <c r="C481" s="103">
        <v>1991</v>
      </c>
      <c r="D481" s="103" t="s">
        <v>224</v>
      </c>
      <c r="E481" s="99" t="s">
        <v>20</v>
      </c>
      <c r="F481" s="127">
        <v>33009</v>
      </c>
      <c r="G481" s="98" t="s">
        <v>227</v>
      </c>
      <c r="H481" s="98" t="s">
        <v>146</v>
      </c>
      <c r="I481" s="98"/>
      <c r="J481" s="98" t="s">
        <v>1034</v>
      </c>
      <c r="K481" s="98" t="s">
        <v>1035</v>
      </c>
      <c r="L481" s="98" t="s">
        <v>232</v>
      </c>
      <c r="M481" s="98" t="s">
        <v>233</v>
      </c>
      <c r="N481" s="98"/>
      <c r="O481" s="98">
        <v>33</v>
      </c>
      <c r="P481" s="98"/>
      <c r="Q481" s="98"/>
      <c r="R481" s="98"/>
      <c r="S481" s="98"/>
      <c r="T481" s="98"/>
      <c r="U481" s="98"/>
      <c r="V481" s="98"/>
      <c r="W481" s="98"/>
      <c r="X481" s="101" t="str">
        <f t="shared" si="31"/>
        <v/>
      </c>
      <c r="Y481" s="111">
        <v>1591.1</v>
      </c>
      <c r="Z481" s="106" t="str">
        <f t="shared" si="30"/>
        <v/>
      </c>
      <c r="AA481" s="174"/>
      <c r="AB481" s="174"/>
      <c r="AC481" s="174"/>
      <c r="AD481" s="174"/>
      <c r="AE481" s="174"/>
      <c r="AF481" s="174"/>
      <c r="AG481" s="174"/>
      <c r="AH481" s="174"/>
      <c r="AI481" s="174"/>
      <c r="AJ481" s="174"/>
      <c r="AK481" s="174"/>
      <c r="AL481" s="174"/>
    </row>
    <row r="482" spans="1:38" s="107" customFormat="1">
      <c r="A482" s="97">
        <v>86</v>
      </c>
      <c r="B482" s="103" t="s">
        <v>223</v>
      </c>
      <c r="C482" s="103">
        <v>1991</v>
      </c>
      <c r="D482" s="103" t="s">
        <v>224</v>
      </c>
      <c r="E482" s="99" t="s">
        <v>20</v>
      </c>
      <c r="F482" s="127">
        <v>33009</v>
      </c>
      <c r="G482" s="98" t="s">
        <v>227</v>
      </c>
      <c r="H482" s="98" t="s">
        <v>146</v>
      </c>
      <c r="I482" s="98"/>
      <c r="J482" s="98" t="s">
        <v>1034</v>
      </c>
      <c r="K482" s="98" t="s">
        <v>1035</v>
      </c>
      <c r="L482" s="98" t="s">
        <v>232</v>
      </c>
      <c r="M482" s="98" t="s">
        <v>233</v>
      </c>
      <c r="N482" s="98"/>
      <c r="O482" s="98">
        <v>30</v>
      </c>
      <c r="P482" s="98"/>
      <c r="Q482" s="98"/>
      <c r="R482" s="98"/>
      <c r="S482" s="98"/>
      <c r="T482" s="98"/>
      <c r="U482" s="98"/>
      <c r="V482" s="98"/>
      <c r="W482" s="98"/>
      <c r="X482" s="101" t="str">
        <f t="shared" si="31"/>
        <v/>
      </c>
      <c r="Y482" s="111">
        <v>1605.9</v>
      </c>
      <c r="Z482" s="106" t="str">
        <f t="shared" si="30"/>
        <v/>
      </c>
      <c r="AA482" s="174"/>
      <c r="AB482" s="174"/>
      <c r="AC482" s="174"/>
      <c r="AD482" s="174"/>
      <c r="AE482" s="174"/>
      <c r="AF482" s="174"/>
      <c r="AG482" s="174"/>
      <c r="AH482" s="174"/>
      <c r="AI482" s="174"/>
      <c r="AJ482" s="174"/>
      <c r="AK482" s="174"/>
      <c r="AL482" s="174"/>
    </row>
    <row r="483" spans="1:38" s="107" customFormat="1">
      <c r="A483" s="97">
        <v>86</v>
      </c>
      <c r="B483" s="103" t="s">
        <v>223</v>
      </c>
      <c r="C483" s="103">
        <v>1991</v>
      </c>
      <c r="D483" s="103" t="s">
        <v>224</v>
      </c>
      <c r="E483" s="99" t="s">
        <v>20</v>
      </c>
      <c r="F483" s="127">
        <v>32961</v>
      </c>
      <c r="G483" s="98" t="s">
        <v>227</v>
      </c>
      <c r="H483" s="98" t="s">
        <v>146</v>
      </c>
      <c r="I483" s="98"/>
      <c r="J483" s="98" t="s">
        <v>1034</v>
      </c>
      <c r="K483" s="98" t="s">
        <v>1035</v>
      </c>
      <c r="L483" s="98" t="s">
        <v>232</v>
      </c>
      <c r="M483" s="98" t="s">
        <v>233</v>
      </c>
      <c r="N483" s="98"/>
      <c r="O483" s="98">
        <v>16</v>
      </c>
      <c r="P483" s="98"/>
      <c r="Q483" s="98"/>
      <c r="R483" s="98"/>
      <c r="S483" s="98"/>
      <c r="T483" s="98"/>
      <c r="U483" s="98"/>
      <c r="V483" s="98"/>
      <c r="W483" s="98"/>
      <c r="X483" s="101" t="str">
        <f t="shared" si="31"/>
        <v/>
      </c>
      <c r="Y483" s="111">
        <v>1634.5</v>
      </c>
      <c r="Z483" s="106" t="str">
        <f t="shared" si="30"/>
        <v/>
      </c>
      <c r="AA483" s="174"/>
      <c r="AB483" s="174"/>
      <c r="AC483" s="174"/>
      <c r="AD483" s="174"/>
      <c r="AE483" s="174"/>
      <c r="AF483" s="174"/>
      <c r="AG483" s="174"/>
      <c r="AH483" s="174"/>
      <c r="AI483" s="174"/>
      <c r="AJ483" s="174"/>
      <c r="AK483" s="174"/>
      <c r="AL483" s="174"/>
    </row>
    <row r="484" spans="1:38" s="107" customFormat="1">
      <c r="A484" s="97">
        <v>86</v>
      </c>
      <c r="B484" s="103" t="s">
        <v>223</v>
      </c>
      <c r="C484" s="103">
        <v>1991</v>
      </c>
      <c r="D484" s="103" t="s">
        <v>224</v>
      </c>
      <c r="E484" s="99" t="s">
        <v>20</v>
      </c>
      <c r="F484" s="127">
        <v>32857</v>
      </c>
      <c r="G484" s="98" t="s">
        <v>227</v>
      </c>
      <c r="H484" s="98" t="s">
        <v>146</v>
      </c>
      <c r="I484" s="98"/>
      <c r="J484" s="98" t="s">
        <v>1034</v>
      </c>
      <c r="K484" s="98" t="s">
        <v>1035</v>
      </c>
      <c r="L484" s="98" t="s">
        <v>232</v>
      </c>
      <c r="M484" s="98" t="s">
        <v>233</v>
      </c>
      <c r="N484" s="98"/>
      <c r="O484" s="98">
        <v>3</v>
      </c>
      <c r="P484" s="98"/>
      <c r="Q484" s="98"/>
      <c r="R484" s="98"/>
      <c r="S484" s="98"/>
      <c r="T484" s="98"/>
      <c r="U484" s="98"/>
      <c r="V484" s="98"/>
      <c r="W484" s="98"/>
      <c r="X484" s="101" t="str">
        <f t="shared" si="31"/>
        <v/>
      </c>
      <c r="Y484" s="111">
        <v>1648</v>
      </c>
      <c r="Z484" s="106" t="str">
        <f t="shared" si="30"/>
        <v/>
      </c>
      <c r="AA484" s="174"/>
      <c r="AB484" s="174"/>
      <c r="AC484" s="174"/>
      <c r="AD484" s="174"/>
      <c r="AE484" s="174"/>
      <c r="AF484" s="174"/>
      <c r="AG484" s="174"/>
      <c r="AH484" s="174"/>
      <c r="AI484" s="174"/>
      <c r="AJ484" s="174"/>
      <c r="AK484" s="174"/>
      <c r="AL484" s="174"/>
    </row>
    <row r="485" spans="1:38" s="107" customFormat="1">
      <c r="A485" s="97">
        <v>86</v>
      </c>
      <c r="B485" s="103" t="s">
        <v>223</v>
      </c>
      <c r="C485" s="103">
        <v>1991</v>
      </c>
      <c r="D485" s="103" t="s">
        <v>224</v>
      </c>
      <c r="E485" s="99" t="s">
        <v>20</v>
      </c>
      <c r="F485" s="127">
        <v>32961</v>
      </c>
      <c r="G485" s="98" t="s">
        <v>227</v>
      </c>
      <c r="H485" s="98" t="s">
        <v>146</v>
      </c>
      <c r="I485" s="98"/>
      <c r="J485" s="98" t="s">
        <v>1034</v>
      </c>
      <c r="K485" s="98" t="s">
        <v>1035</v>
      </c>
      <c r="L485" s="98" t="s">
        <v>232</v>
      </c>
      <c r="M485" s="98" t="s">
        <v>233</v>
      </c>
      <c r="N485" s="98"/>
      <c r="O485" s="98">
        <v>10</v>
      </c>
      <c r="P485" s="98"/>
      <c r="Q485" s="98"/>
      <c r="R485" s="98"/>
      <c r="S485" s="98"/>
      <c r="T485" s="98"/>
      <c r="U485" s="98"/>
      <c r="V485" s="98"/>
      <c r="W485" s="98"/>
      <c r="X485" s="101" t="str">
        <f t="shared" si="31"/>
        <v/>
      </c>
      <c r="Y485" s="111">
        <v>1660.1</v>
      </c>
      <c r="Z485" s="106" t="str">
        <f t="shared" si="30"/>
        <v/>
      </c>
      <c r="AA485" s="174"/>
      <c r="AB485" s="174"/>
      <c r="AC485" s="174"/>
      <c r="AD485" s="174"/>
      <c r="AE485" s="174"/>
      <c r="AF485" s="174"/>
      <c r="AG485" s="174"/>
      <c r="AH485" s="174"/>
      <c r="AI485" s="174"/>
      <c r="AJ485" s="174"/>
      <c r="AK485" s="174"/>
      <c r="AL485" s="174"/>
    </row>
    <row r="486" spans="1:38" s="107" customFormat="1">
      <c r="A486" s="97">
        <v>86</v>
      </c>
      <c r="B486" s="103" t="s">
        <v>223</v>
      </c>
      <c r="C486" s="103">
        <v>1991</v>
      </c>
      <c r="D486" s="103" t="s">
        <v>224</v>
      </c>
      <c r="E486" s="99" t="s">
        <v>20</v>
      </c>
      <c r="F486" s="127">
        <v>33093</v>
      </c>
      <c r="G486" s="98" t="s">
        <v>227</v>
      </c>
      <c r="H486" s="98" t="s">
        <v>146</v>
      </c>
      <c r="I486" s="98"/>
      <c r="J486" s="98" t="s">
        <v>1034</v>
      </c>
      <c r="K486" s="98" t="s">
        <v>1035</v>
      </c>
      <c r="L486" s="98" t="s">
        <v>232</v>
      </c>
      <c r="M486" s="98" t="s">
        <v>233</v>
      </c>
      <c r="N486" s="98"/>
      <c r="O486" s="98">
        <v>38</v>
      </c>
      <c r="P486" s="98"/>
      <c r="Q486" s="98"/>
      <c r="R486" s="98"/>
      <c r="S486" s="98"/>
      <c r="T486" s="98"/>
      <c r="U486" s="98"/>
      <c r="V486" s="98"/>
      <c r="W486" s="98"/>
      <c r="X486" s="101" t="str">
        <f t="shared" si="31"/>
        <v/>
      </c>
      <c r="Y486" s="111">
        <v>1670.9</v>
      </c>
      <c r="Z486" s="106" t="str">
        <f t="shared" si="30"/>
        <v/>
      </c>
      <c r="AA486" s="174"/>
      <c r="AB486" s="174"/>
      <c r="AC486" s="174"/>
      <c r="AD486" s="174"/>
      <c r="AE486" s="174"/>
      <c r="AF486" s="174"/>
      <c r="AG486" s="174"/>
      <c r="AH486" s="174"/>
      <c r="AI486" s="174"/>
      <c r="AJ486" s="174"/>
      <c r="AK486" s="174"/>
      <c r="AL486" s="174"/>
    </row>
    <row r="487" spans="1:38" s="107" customFormat="1">
      <c r="A487" s="97">
        <v>86</v>
      </c>
      <c r="B487" s="103" t="s">
        <v>223</v>
      </c>
      <c r="C487" s="103">
        <v>1991</v>
      </c>
      <c r="D487" s="103" t="s">
        <v>224</v>
      </c>
      <c r="E487" s="99" t="s">
        <v>20</v>
      </c>
      <c r="F487" s="127">
        <v>32857</v>
      </c>
      <c r="G487" s="98" t="s">
        <v>227</v>
      </c>
      <c r="H487" s="98" t="s">
        <v>146</v>
      </c>
      <c r="I487" s="98"/>
      <c r="J487" s="98" t="s">
        <v>1034</v>
      </c>
      <c r="K487" s="98" t="s">
        <v>1035</v>
      </c>
      <c r="L487" s="98" t="s">
        <v>232</v>
      </c>
      <c r="M487" s="98" t="s">
        <v>233</v>
      </c>
      <c r="N487" s="98"/>
      <c r="O487" s="98">
        <v>5</v>
      </c>
      <c r="P487" s="98"/>
      <c r="Q487" s="98"/>
      <c r="R487" s="98"/>
      <c r="S487" s="98"/>
      <c r="T487" s="98"/>
      <c r="U487" s="98"/>
      <c r="V487" s="98"/>
      <c r="W487" s="98"/>
      <c r="X487" s="101" t="str">
        <f t="shared" si="31"/>
        <v/>
      </c>
      <c r="Y487" s="111">
        <v>1697</v>
      </c>
      <c r="Z487" s="106" t="str">
        <f t="shared" si="30"/>
        <v/>
      </c>
      <c r="AA487" s="174"/>
      <c r="AB487" s="174"/>
      <c r="AC487" s="174"/>
      <c r="AD487" s="174"/>
      <c r="AE487" s="174"/>
      <c r="AF487" s="174"/>
      <c r="AG487" s="174"/>
      <c r="AH487" s="174"/>
      <c r="AI487" s="174"/>
      <c r="AJ487" s="174"/>
      <c r="AK487" s="174"/>
      <c r="AL487" s="174"/>
    </row>
    <row r="488" spans="1:38" s="107" customFormat="1">
      <c r="A488" s="97">
        <v>86</v>
      </c>
      <c r="B488" s="103" t="s">
        <v>223</v>
      </c>
      <c r="C488" s="103">
        <v>1991</v>
      </c>
      <c r="D488" s="103" t="s">
        <v>224</v>
      </c>
      <c r="E488" s="99" t="s">
        <v>20</v>
      </c>
      <c r="F488" s="127">
        <v>32857</v>
      </c>
      <c r="G488" s="98" t="s">
        <v>227</v>
      </c>
      <c r="H488" s="98" t="s">
        <v>146</v>
      </c>
      <c r="I488" s="98"/>
      <c r="J488" s="98" t="s">
        <v>1034</v>
      </c>
      <c r="K488" s="98" t="s">
        <v>1035</v>
      </c>
      <c r="L488" s="98" t="s">
        <v>232</v>
      </c>
      <c r="M488" s="98" t="s">
        <v>233</v>
      </c>
      <c r="N488" s="98"/>
      <c r="O488" s="98">
        <v>9</v>
      </c>
      <c r="P488" s="98"/>
      <c r="Q488" s="98"/>
      <c r="R488" s="98"/>
      <c r="S488" s="98"/>
      <c r="T488" s="98"/>
      <c r="U488" s="98"/>
      <c r="V488" s="98"/>
      <c r="W488" s="98"/>
      <c r="X488" s="101" t="str">
        <f t="shared" si="31"/>
        <v/>
      </c>
      <c r="Y488" s="111">
        <v>1728</v>
      </c>
      <c r="Z488" s="106" t="str">
        <f t="shared" si="30"/>
        <v/>
      </c>
      <c r="AA488" s="174"/>
      <c r="AB488" s="174"/>
      <c r="AC488" s="174"/>
      <c r="AD488" s="174"/>
      <c r="AE488" s="174"/>
      <c r="AF488" s="174"/>
      <c r="AG488" s="174"/>
      <c r="AH488" s="174"/>
      <c r="AI488" s="174"/>
      <c r="AJ488" s="174"/>
      <c r="AK488" s="174"/>
      <c r="AL488" s="174"/>
    </row>
    <row r="489" spans="1:38" s="107" customFormat="1">
      <c r="A489" s="97">
        <v>86</v>
      </c>
      <c r="B489" s="103" t="s">
        <v>223</v>
      </c>
      <c r="C489" s="103">
        <v>1991</v>
      </c>
      <c r="D489" s="103" t="s">
        <v>224</v>
      </c>
      <c r="E489" s="99" t="s">
        <v>20</v>
      </c>
      <c r="F489" s="127">
        <v>33093</v>
      </c>
      <c r="G489" s="98" t="s">
        <v>227</v>
      </c>
      <c r="H489" s="98" t="s">
        <v>146</v>
      </c>
      <c r="I489" s="98"/>
      <c r="J489" s="98" t="s">
        <v>1034</v>
      </c>
      <c r="K489" s="98" t="s">
        <v>1040</v>
      </c>
      <c r="L489" s="98" t="s">
        <v>230</v>
      </c>
      <c r="M489" s="98" t="s">
        <v>231</v>
      </c>
      <c r="N489" s="98"/>
      <c r="O489" s="98">
        <v>44</v>
      </c>
      <c r="P489" s="98"/>
      <c r="Q489" s="98"/>
      <c r="R489" s="98"/>
      <c r="S489" s="98"/>
      <c r="T489" s="98"/>
      <c r="U489" s="98"/>
      <c r="V489" s="98"/>
      <c r="W489" s="98"/>
      <c r="X489" s="101" t="str">
        <f t="shared" si="31"/>
        <v/>
      </c>
      <c r="Y489" s="111">
        <v>1247.7</v>
      </c>
      <c r="Z489" s="106" t="str">
        <f t="shared" si="30"/>
        <v/>
      </c>
      <c r="AA489" s="174"/>
      <c r="AB489" s="174"/>
      <c r="AC489" s="174"/>
      <c r="AD489" s="174"/>
      <c r="AE489" s="174"/>
      <c r="AF489" s="174"/>
      <c r="AG489" s="174"/>
      <c r="AH489" s="174"/>
      <c r="AI489" s="174"/>
      <c r="AJ489" s="174"/>
      <c r="AK489" s="174"/>
      <c r="AL489" s="174"/>
    </row>
    <row r="490" spans="1:38" s="107" customFormat="1">
      <c r="A490" s="97">
        <v>86</v>
      </c>
      <c r="B490" s="103" t="s">
        <v>223</v>
      </c>
      <c r="C490" s="103">
        <v>1991</v>
      </c>
      <c r="D490" s="103" t="s">
        <v>224</v>
      </c>
      <c r="E490" s="99" t="s">
        <v>20</v>
      </c>
      <c r="F490" s="127">
        <v>33093</v>
      </c>
      <c r="G490" s="98" t="s">
        <v>227</v>
      </c>
      <c r="H490" s="98" t="s">
        <v>146</v>
      </c>
      <c r="I490" s="98"/>
      <c r="J490" s="98" t="s">
        <v>1034</v>
      </c>
      <c r="K490" s="98" t="s">
        <v>1040</v>
      </c>
      <c r="L490" s="98" t="s">
        <v>230</v>
      </c>
      <c r="M490" s="98" t="s">
        <v>231</v>
      </c>
      <c r="N490" s="98"/>
      <c r="O490" s="98">
        <v>41</v>
      </c>
      <c r="P490" s="98"/>
      <c r="Q490" s="98"/>
      <c r="R490" s="98"/>
      <c r="S490" s="98"/>
      <c r="T490" s="98"/>
      <c r="U490" s="98"/>
      <c r="V490" s="98"/>
      <c r="W490" s="98"/>
      <c r="X490" s="101" t="str">
        <f t="shared" si="31"/>
        <v/>
      </c>
      <c r="Y490" s="111">
        <v>1352.8</v>
      </c>
      <c r="Z490" s="106" t="str">
        <f t="shared" si="30"/>
        <v/>
      </c>
      <c r="AA490" s="174"/>
      <c r="AB490" s="174"/>
      <c r="AC490" s="174"/>
      <c r="AD490" s="174"/>
      <c r="AE490" s="174"/>
      <c r="AF490" s="174"/>
      <c r="AG490" s="174"/>
      <c r="AH490" s="174"/>
      <c r="AI490" s="174"/>
      <c r="AJ490" s="174"/>
      <c r="AK490" s="174"/>
      <c r="AL490" s="174"/>
    </row>
    <row r="491" spans="1:38" s="107" customFormat="1">
      <c r="A491" s="97">
        <v>86</v>
      </c>
      <c r="B491" s="103" t="s">
        <v>223</v>
      </c>
      <c r="C491" s="103">
        <v>1991</v>
      </c>
      <c r="D491" s="103" t="s">
        <v>224</v>
      </c>
      <c r="E491" s="99" t="s">
        <v>20</v>
      </c>
      <c r="F491" s="127">
        <v>33009</v>
      </c>
      <c r="G491" s="98" t="s">
        <v>227</v>
      </c>
      <c r="H491" s="98" t="s">
        <v>146</v>
      </c>
      <c r="I491" s="98"/>
      <c r="J491" s="98" t="s">
        <v>1034</v>
      </c>
      <c r="K491" s="98" t="s">
        <v>1040</v>
      </c>
      <c r="L491" s="98" t="s">
        <v>230</v>
      </c>
      <c r="M491" s="98" t="s">
        <v>231</v>
      </c>
      <c r="N491" s="98"/>
      <c r="O491" s="98">
        <v>32</v>
      </c>
      <c r="P491" s="98"/>
      <c r="Q491" s="98"/>
      <c r="R491" s="98"/>
      <c r="S491" s="98"/>
      <c r="T491" s="98"/>
      <c r="U491" s="98"/>
      <c r="V491" s="98"/>
      <c r="W491" s="98"/>
      <c r="X491" s="101" t="str">
        <f t="shared" si="31"/>
        <v/>
      </c>
      <c r="Y491" s="111">
        <v>1377.2</v>
      </c>
      <c r="Z491" s="106" t="str">
        <f t="shared" si="30"/>
        <v/>
      </c>
      <c r="AA491" s="174"/>
      <c r="AB491" s="174"/>
      <c r="AC491" s="174"/>
      <c r="AD491" s="174"/>
      <c r="AE491" s="174"/>
      <c r="AF491" s="174"/>
      <c r="AG491" s="174"/>
      <c r="AH491" s="174"/>
      <c r="AI491" s="174"/>
      <c r="AJ491" s="174"/>
      <c r="AK491" s="174"/>
      <c r="AL491" s="174"/>
    </row>
    <row r="492" spans="1:38" s="107" customFormat="1">
      <c r="A492" s="97">
        <v>86</v>
      </c>
      <c r="B492" s="103" t="s">
        <v>223</v>
      </c>
      <c r="C492" s="103">
        <v>1991</v>
      </c>
      <c r="D492" s="103" t="s">
        <v>224</v>
      </c>
      <c r="E492" s="99" t="s">
        <v>20</v>
      </c>
      <c r="F492" s="127">
        <v>33008</v>
      </c>
      <c r="G492" s="98" t="s">
        <v>227</v>
      </c>
      <c r="H492" s="98" t="s">
        <v>146</v>
      </c>
      <c r="I492" s="98"/>
      <c r="J492" s="98" t="s">
        <v>1034</v>
      </c>
      <c r="K492" s="98" t="s">
        <v>1040</v>
      </c>
      <c r="L492" s="98" t="s">
        <v>230</v>
      </c>
      <c r="M492" s="98" t="s">
        <v>231</v>
      </c>
      <c r="N492" s="98"/>
      <c r="O492" s="98">
        <v>23</v>
      </c>
      <c r="P492" s="98"/>
      <c r="Q492" s="98"/>
      <c r="R492" s="98"/>
      <c r="S492" s="98"/>
      <c r="T492" s="98"/>
      <c r="U492" s="98"/>
      <c r="V492" s="98"/>
      <c r="W492" s="98"/>
      <c r="X492" s="101" t="str">
        <f t="shared" si="31"/>
        <v/>
      </c>
      <c r="Y492" s="111">
        <v>1391.5</v>
      </c>
      <c r="Z492" s="106" t="str">
        <f t="shared" si="30"/>
        <v/>
      </c>
      <c r="AA492" s="174"/>
      <c r="AB492" s="174"/>
      <c r="AC492" s="174"/>
      <c r="AD492" s="174"/>
      <c r="AE492" s="174"/>
      <c r="AF492" s="174"/>
      <c r="AG492" s="174"/>
      <c r="AH492" s="174"/>
      <c r="AI492" s="174"/>
      <c r="AJ492" s="174"/>
      <c r="AK492" s="174"/>
      <c r="AL492" s="174"/>
    </row>
    <row r="493" spans="1:38" s="107" customFormat="1">
      <c r="A493" s="97">
        <v>86</v>
      </c>
      <c r="B493" s="103" t="s">
        <v>223</v>
      </c>
      <c r="C493" s="103">
        <v>1991</v>
      </c>
      <c r="D493" s="103" t="s">
        <v>224</v>
      </c>
      <c r="E493" s="99" t="s">
        <v>20</v>
      </c>
      <c r="F493" s="127">
        <v>33008</v>
      </c>
      <c r="G493" s="98" t="s">
        <v>227</v>
      </c>
      <c r="H493" s="98" t="s">
        <v>146</v>
      </c>
      <c r="I493" s="98"/>
      <c r="J493" s="98" t="s">
        <v>1034</v>
      </c>
      <c r="K493" s="98" t="s">
        <v>1040</v>
      </c>
      <c r="L493" s="98" t="s">
        <v>230</v>
      </c>
      <c r="M493" s="98" t="s">
        <v>231</v>
      </c>
      <c r="N493" s="98"/>
      <c r="O493" s="98">
        <v>27</v>
      </c>
      <c r="P493" s="98"/>
      <c r="Q493" s="98"/>
      <c r="R493" s="98"/>
      <c r="S493" s="98"/>
      <c r="T493" s="98"/>
      <c r="U493" s="98"/>
      <c r="V493" s="98"/>
      <c r="W493" s="98"/>
      <c r="X493" s="101" t="str">
        <f t="shared" si="31"/>
        <v/>
      </c>
      <c r="Y493" s="111">
        <v>1456.5</v>
      </c>
      <c r="Z493" s="106" t="str">
        <f t="shared" si="30"/>
        <v/>
      </c>
      <c r="AA493" s="174"/>
      <c r="AB493" s="174"/>
      <c r="AC493" s="174"/>
      <c r="AD493" s="174"/>
      <c r="AE493" s="174"/>
      <c r="AF493" s="174"/>
      <c r="AG493" s="174"/>
      <c r="AH493" s="174"/>
      <c r="AI493" s="174"/>
      <c r="AJ493" s="174"/>
      <c r="AK493" s="174"/>
      <c r="AL493" s="174"/>
    </row>
    <row r="494" spans="1:38" s="107" customFormat="1">
      <c r="A494" s="97">
        <v>86</v>
      </c>
      <c r="B494" s="103" t="s">
        <v>223</v>
      </c>
      <c r="C494" s="103">
        <v>1991</v>
      </c>
      <c r="D494" s="103" t="s">
        <v>224</v>
      </c>
      <c r="E494" s="99" t="s">
        <v>20</v>
      </c>
      <c r="F494" s="127">
        <v>33093</v>
      </c>
      <c r="G494" s="98" t="s">
        <v>227</v>
      </c>
      <c r="H494" s="98" t="s">
        <v>146</v>
      </c>
      <c r="I494" s="98"/>
      <c r="J494" s="98" t="s">
        <v>1034</v>
      </c>
      <c r="K494" s="98" t="s">
        <v>1040</v>
      </c>
      <c r="L494" s="98" t="s">
        <v>230</v>
      </c>
      <c r="M494" s="98" t="s">
        <v>231</v>
      </c>
      <c r="N494" s="98"/>
      <c r="O494" s="98">
        <v>34</v>
      </c>
      <c r="P494" s="98"/>
      <c r="Q494" s="98"/>
      <c r="R494" s="98"/>
      <c r="S494" s="98"/>
      <c r="T494" s="98"/>
      <c r="U494" s="98"/>
      <c r="V494" s="98"/>
      <c r="W494" s="98"/>
      <c r="X494" s="101" t="str">
        <f t="shared" si="31"/>
        <v/>
      </c>
      <c r="Y494" s="111">
        <v>1478.8</v>
      </c>
      <c r="Z494" s="106" t="str">
        <f t="shared" si="30"/>
        <v/>
      </c>
      <c r="AA494" s="174"/>
      <c r="AB494" s="174"/>
      <c r="AC494" s="174"/>
      <c r="AD494" s="174"/>
      <c r="AE494" s="174"/>
      <c r="AF494" s="174"/>
      <c r="AG494" s="174"/>
      <c r="AH494" s="174"/>
      <c r="AI494" s="174"/>
      <c r="AJ494" s="174"/>
      <c r="AK494" s="174"/>
      <c r="AL494" s="174"/>
    </row>
    <row r="495" spans="1:38" s="107" customFormat="1">
      <c r="A495" s="97">
        <v>86</v>
      </c>
      <c r="B495" s="103" t="s">
        <v>223</v>
      </c>
      <c r="C495" s="103">
        <v>1991</v>
      </c>
      <c r="D495" s="103" t="s">
        <v>224</v>
      </c>
      <c r="E495" s="99" t="s">
        <v>20</v>
      </c>
      <c r="F495" s="127">
        <v>32857</v>
      </c>
      <c r="G495" s="98" t="s">
        <v>227</v>
      </c>
      <c r="H495" s="98" t="s">
        <v>146</v>
      </c>
      <c r="I495" s="98"/>
      <c r="J495" s="98" t="s">
        <v>1034</v>
      </c>
      <c r="K495" s="98" t="s">
        <v>1040</v>
      </c>
      <c r="L495" s="98" t="s">
        <v>230</v>
      </c>
      <c r="M495" s="98" t="s">
        <v>231</v>
      </c>
      <c r="N495" s="98"/>
      <c r="O495" s="98">
        <v>8</v>
      </c>
      <c r="P495" s="98"/>
      <c r="Q495" s="98"/>
      <c r="R495" s="98"/>
      <c r="S495" s="98"/>
      <c r="T495" s="98"/>
      <c r="U495" s="98"/>
      <c r="V495" s="98"/>
      <c r="W495" s="98"/>
      <c r="X495" s="101" t="str">
        <f t="shared" si="31"/>
        <v/>
      </c>
      <c r="Y495" s="111">
        <v>1497</v>
      </c>
      <c r="Z495" s="106" t="str">
        <f t="shared" si="30"/>
        <v/>
      </c>
      <c r="AA495" s="174"/>
      <c r="AB495" s="174"/>
      <c r="AC495" s="174"/>
      <c r="AD495" s="174"/>
      <c r="AE495" s="174"/>
      <c r="AF495" s="174"/>
      <c r="AG495" s="174"/>
      <c r="AH495" s="174"/>
      <c r="AI495" s="174"/>
      <c r="AJ495" s="174"/>
      <c r="AK495" s="174"/>
      <c r="AL495" s="174"/>
    </row>
    <row r="496" spans="1:38" s="107" customFormat="1">
      <c r="A496" s="97">
        <v>86</v>
      </c>
      <c r="B496" s="103" t="s">
        <v>223</v>
      </c>
      <c r="C496" s="103">
        <v>1991</v>
      </c>
      <c r="D496" s="103" t="s">
        <v>224</v>
      </c>
      <c r="E496" s="99" t="s">
        <v>20</v>
      </c>
      <c r="F496" s="127">
        <v>32961</v>
      </c>
      <c r="G496" s="98" t="s">
        <v>227</v>
      </c>
      <c r="H496" s="98" t="s">
        <v>146</v>
      </c>
      <c r="I496" s="98"/>
      <c r="J496" s="98" t="s">
        <v>1034</v>
      </c>
      <c r="K496" s="98" t="s">
        <v>1040</v>
      </c>
      <c r="L496" s="98" t="s">
        <v>230</v>
      </c>
      <c r="M496" s="98" t="s">
        <v>231</v>
      </c>
      <c r="N496" s="98"/>
      <c r="O496" s="98">
        <v>15</v>
      </c>
      <c r="P496" s="98"/>
      <c r="Q496" s="98"/>
      <c r="R496" s="98"/>
      <c r="S496" s="98"/>
      <c r="T496" s="98"/>
      <c r="U496" s="98"/>
      <c r="V496" s="98"/>
      <c r="W496" s="98"/>
      <c r="X496" s="101" t="str">
        <f t="shared" si="31"/>
        <v/>
      </c>
      <c r="Y496" s="111">
        <v>1531.4</v>
      </c>
      <c r="Z496" s="106" t="str">
        <f t="shared" si="30"/>
        <v/>
      </c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</row>
    <row r="497" spans="1:38" s="107" customFormat="1">
      <c r="A497" s="97">
        <v>86</v>
      </c>
      <c r="B497" s="103" t="s">
        <v>223</v>
      </c>
      <c r="C497" s="103">
        <v>1991</v>
      </c>
      <c r="D497" s="103" t="s">
        <v>224</v>
      </c>
      <c r="E497" s="99" t="s">
        <v>20</v>
      </c>
      <c r="F497" s="127">
        <v>32857</v>
      </c>
      <c r="G497" s="98" t="s">
        <v>227</v>
      </c>
      <c r="H497" s="98" t="s">
        <v>146</v>
      </c>
      <c r="I497" s="98"/>
      <c r="J497" s="98" t="s">
        <v>1034</v>
      </c>
      <c r="K497" s="98" t="s">
        <v>1040</v>
      </c>
      <c r="L497" s="98" t="s">
        <v>230</v>
      </c>
      <c r="M497" s="98" t="s">
        <v>231</v>
      </c>
      <c r="N497" s="98"/>
      <c r="O497" s="98">
        <v>2</v>
      </c>
      <c r="P497" s="98"/>
      <c r="Q497" s="98"/>
      <c r="R497" s="98"/>
      <c r="S497" s="98"/>
      <c r="T497" s="98"/>
      <c r="U497" s="98"/>
      <c r="V497" s="98"/>
      <c r="W497" s="98"/>
      <c r="X497" s="101" t="str">
        <f t="shared" si="31"/>
        <v/>
      </c>
      <c r="Y497" s="111">
        <v>1597</v>
      </c>
      <c r="Z497" s="106" t="str">
        <f t="shared" si="30"/>
        <v/>
      </c>
      <c r="AA497" s="174"/>
      <c r="AB497" s="174"/>
      <c r="AC497" s="174"/>
      <c r="AD497" s="174"/>
      <c r="AE497" s="174"/>
      <c r="AF497" s="174"/>
      <c r="AG497" s="174"/>
      <c r="AH497" s="174"/>
      <c r="AI497" s="174"/>
      <c r="AJ497" s="174"/>
      <c r="AK497" s="174"/>
      <c r="AL497" s="174"/>
    </row>
    <row r="498" spans="1:38" s="107" customFormat="1">
      <c r="A498" s="97">
        <v>86</v>
      </c>
      <c r="B498" s="103" t="s">
        <v>223</v>
      </c>
      <c r="C498" s="103">
        <v>1991</v>
      </c>
      <c r="D498" s="103" t="s">
        <v>224</v>
      </c>
      <c r="E498" s="99" t="s">
        <v>20</v>
      </c>
      <c r="F498" s="127">
        <v>32961</v>
      </c>
      <c r="G498" s="98" t="s">
        <v>227</v>
      </c>
      <c r="H498" s="98" t="s">
        <v>146</v>
      </c>
      <c r="I498" s="98"/>
      <c r="J498" s="98" t="s">
        <v>1034</v>
      </c>
      <c r="K498" s="98" t="s">
        <v>1040</v>
      </c>
      <c r="L498" s="98" t="s">
        <v>230</v>
      </c>
      <c r="M498" s="98" t="s">
        <v>231</v>
      </c>
      <c r="N498" s="98"/>
      <c r="O498" s="98">
        <v>19</v>
      </c>
      <c r="P498" s="98"/>
      <c r="Q498" s="98"/>
      <c r="R498" s="98"/>
      <c r="S498" s="98"/>
      <c r="T498" s="98"/>
      <c r="U498" s="98"/>
      <c r="V498" s="98"/>
      <c r="W498" s="98"/>
      <c r="X498" s="101" t="str">
        <f t="shared" si="31"/>
        <v/>
      </c>
      <c r="Y498" s="111">
        <v>1676.2</v>
      </c>
      <c r="Z498" s="106" t="str">
        <f t="shared" ref="Z498:Z514" si="32">IF(X498&lt;&gt;"",IF(X498&lt;0.9,"S","F"),"")</f>
        <v/>
      </c>
      <c r="AA498" s="174"/>
      <c r="AB498" s="174"/>
      <c r="AC498" s="174"/>
      <c r="AD498" s="174"/>
      <c r="AE498" s="174"/>
      <c r="AF498" s="174"/>
      <c r="AG498" s="174"/>
      <c r="AH498" s="174"/>
      <c r="AI498" s="174"/>
      <c r="AJ498" s="174"/>
      <c r="AK498" s="174"/>
      <c r="AL498" s="174"/>
    </row>
    <row r="499" spans="1:38" s="107" customFormat="1">
      <c r="A499" s="97">
        <v>86</v>
      </c>
      <c r="B499" s="103" t="s">
        <v>223</v>
      </c>
      <c r="C499" s="103">
        <v>1991</v>
      </c>
      <c r="D499" s="103" t="s">
        <v>224</v>
      </c>
      <c r="E499" s="99" t="s">
        <v>20</v>
      </c>
      <c r="F499" s="127">
        <v>32961</v>
      </c>
      <c r="G499" s="98" t="s">
        <v>227</v>
      </c>
      <c r="H499" s="98" t="s">
        <v>146</v>
      </c>
      <c r="I499" s="98"/>
      <c r="J499" s="98" t="s">
        <v>1034</v>
      </c>
      <c r="K499" s="98" t="s">
        <v>1040</v>
      </c>
      <c r="L499" s="98" t="s">
        <v>230</v>
      </c>
      <c r="M499" s="98" t="s">
        <v>231</v>
      </c>
      <c r="N499" s="98"/>
      <c r="O499" s="98">
        <v>13</v>
      </c>
      <c r="P499" s="98"/>
      <c r="Q499" s="98"/>
      <c r="R499" s="98"/>
      <c r="S499" s="98"/>
      <c r="T499" s="98"/>
      <c r="U499" s="98"/>
      <c r="V499" s="98"/>
      <c r="W499" s="98"/>
      <c r="X499" s="101" t="str">
        <f t="shared" si="31"/>
        <v/>
      </c>
      <c r="Y499" s="111">
        <v>1704.4</v>
      </c>
      <c r="Z499" s="106" t="str">
        <f t="shared" si="32"/>
        <v/>
      </c>
      <c r="AA499" s="174"/>
      <c r="AB499" s="174"/>
      <c r="AC499" s="174"/>
      <c r="AD499" s="174"/>
      <c r="AE499" s="174"/>
      <c r="AF499" s="174"/>
      <c r="AG499" s="174"/>
      <c r="AH499" s="174"/>
      <c r="AI499" s="174"/>
      <c r="AJ499" s="174"/>
      <c r="AK499" s="174"/>
      <c r="AL499" s="174"/>
    </row>
    <row r="500" spans="1:38" s="107" customFormat="1">
      <c r="A500" s="97">
        <v>86</v>
      </c>
      <c r="B500" s="103" t="s">
        <v>223</v>
      </c>
      <c r="C500" s="103">
        <v>1991</v>
      </c>
      <c r="D500" s="103" t="s">
        <v>224</v>
      </c>
      <c r="E500" s="99" t="s">
        <v>20</v>
      </c>
      <c r="F500" s="127">
        <v>32961</v>
      </c>
      <c r="G500" s="98" t="s">
        <v>227</v>
      </c>
      <c r="H500" s="98" t="s">
        <v>146</v>
      </c>
      <c r="I500" s="98"/>
      <c r="J500" s="98" t="s">
        <v>1034</v>
      </c>
      <c r="K500" s="98" t="s">
        <v>1040</v>
      </c>
      <c r="L500" s="98" t="s">
        <v>230</v>
      </c>
      <c r="M500" s="98" t="s">
        <v>231</v>
      </c>
      <c r="N500" s="98"/>
      <c r="O500" s="98">
        <v>20</v>
      </c>
      <c r="P500" s="98"/>
      <c r="Q500" s="98"/>
      <c r="R500" s="98"/>
      <c r="S500" s="98"/>
      <c r="T500" s="98"/>
      <c r="U500" s="98"/>
      <c r="V500" s="98"/>
      <c r="W500" s="98"/>
      <c r="X500" s="101" t="str">
        <f t="shared" si="31"/>
        <v/>
      </c>
      <c r="Y500" s="111">
        <v>1717.7</v>
      </c>
      <c r="Z500" s="106" t="str">
        <f t="shared" si="32"/>
        <v/>
      </c>
      <c r="AA500" s="174"/>
      <c r="AB500" s="174"/>
      <c r="AC500" s="174"/>
      <c r="AD500" s="174"/>
      <c r="AE500" s="174"/>
      <c r="AF500" s="174"/>
      <c r="AG500" s="174"/>
      <c r="AH500" s="174"/>
      <c r="AI500" s="174"/>
      <c r="AJ500" s="174"/>
      <c r="AK500" s="174"/>
      <c r="AL500" s="174"/>
    </row>
    <row r="501" spans="1:38" s="107" customFormat="1">
      <c r="A501" s="97">
        <v>86</v>
      </c>
      <c r="B501" s="103" t="s">
        <v>223</v>
      </c>
      <c r="C501" s="103">
        <v>1991</v>
      </c>
      <c r="D501" s="103" t="s">
        <v>224</v>
      </c>
      <c r="E501" s="99" t="s">
        <v>20</v>
      </c>
      <c r="F501" s="127">
        <v>33008</v>
      </c>
      <c r="G501" s="98" t="s">
        <v>227</v>
      </c>
      <c r="H501" s="98" t="s">
        <v>146</v>
      </c>
      <c r="I501" s="98"/>
      <c r="J501" s="98" t="s">
        <v>1034</v>
      </c>
      <c r="K501" s="98" t="s">
        <v>1066</v>
      </c>
      <c r="L501" s="98" t="s">
        <v>234</v>
      </c>
      <c r="M501" s="98" t="s">
        <v>235</v>
      </c>
      <c r="N501" s="98"/>
      <c r="O501" s="98">
        <v>24</v>
      </c>
      <c r="P501" s="98"/>
      <c r="Q501" s="98"/>
      <c r="R501" s="98"/>
      <c r="S501" s="98"/>
      <c r="T501" s="98"/>
      <c r="U501" s="98"/>
      <c r="V501" s="98"/>
      <c r="W501" s="98"/>
      <c r="X501" s="101" t="str">
        <f t="shared" si="31"/>
        <v/>
      </c>
      <c r="Y501" s="111">
        <v>1174</v>
      </c>
      <c r="Z501" s="106" t="str">
        <f t="shared" si="32"/>
        <v/>
      </c>
      <c r="AA501" s="174"/>
      <c r="AB501" s="174"/>
      <c r="AC501" s="174"/>
      <c r="AD501" s="174"/>
      <c r="AE501" s="174"/>
      <c r="AF501" s="174"/>
      <c r="AG501" s="174"/>
      <c r="AH501" s="174"/>
      <c r="AI501" s="174"/>
      <c r="AJ501" s="174"/>
      <c r="AK501" s="174"/>
      <c r="AL501" s="174"/>
    </row>
    <row r="502" spans="1:38" s="107" customFormat="1">
      <c r="A502" s="97">
        <v>86</v>
      </c>
      <c r="B502" s="103" t="s">
        <v>223</v>
      </c>
      <c r="C502" s="103">
        <v>1991</v>
      </c>
      <c r="D502" s="103" t="s">
        <v>224</v>
      </c>
      <c r="E502" s="99" t="s">
        <v>20</v>
      </c>
      <c r="F502" s="127">
        <v>32857</v>
      </c>
      <c r="G502" s="98" t="s">
        <v>227</v>
      </c>
      <c r="H502" s="98" t="s">
        <v>146</v>
      </c>
      <c r="I502" s="98"/>
      <c r="J502" s="98" t="s">
        <v>1034</v>
      </c>
      <c r="K502" s="98" t="s">
        <v>1066</v>
      </c>
      <c r="L502" s="98" t="s">
        <v>234</v>
      </c>
      <c r="M502" s="98" t="s">
        <v>235</v>
      </c>
      <c r="N502" s="98"/>
      <c r="O502" s="98">
        <v>7</v>
      </c>
      <c r="P502" s="98"/>
      <c r="Q502" s="98"/>
      <c r="R502" s="98"/>
      <c r="S502" s="98"/>
      <c r="T502" s="98"/>
      <c r="U502" s="98"/>
      <c r="V502" s="98"/>
      <c r="W502" s="98"/>
      <c r="X502" s="101" t="str">
        <f t="shared" ref="X502:X514" si="33">IF(R502&lt;&gt;0,IF(R502&gt;1,R502/100,R502),IF(U502&lt;&gt;0,IF(U502&gt;1,U502/100,U502),""))</f>
        <v/>
      </c>
      <c r="Y502" s="111">
        <v>1370</v>
      </c>
      <c r="Z502" s="106" t="str">
        <f t="shared" si="32"/>
        <v/>
      </c>
      <c r="AA502" s="174"/>
      <c r="AB502" s="174"/>
      <c r="AC502" s="174"/>
      <c r="AD502" s="174"/>
      <c r="AE502" s="174"/>
      <c r="AF502" s="174"/>
      <c r="AG502" s="174"/>
      <c r="AH502" s="174"/>
      <c r="AI502" s="174"/>
      <c r="AJ502" s="174"/>
      <c r="AK502" s="174"/>
      <c r="AL502" s="174"/>
    </row>
    <row r="503" spans="1:38" s="107" customFormat="1">
      <c r="A503" s="97">
        <v>86</v>
      </c>
      <c r="B503" s="103" t="s">
        <v>223</v>
      </c>
      <c r="C503" s="103">
        <v>1991</v>
      </c>
      <c r="D503" s="103" t="s">
        <v>224</v>
      </c>
      <c r="E503" s="99" t="s">
        <v>20</v>
      </c>
      <c r="F503" s="127">
        <v>33008</v>
      </c>
      <c r="G503" s="98" t="s">
        <v>227</v>
      </c>
      <c r="H503" s="98" t="s">
        <v>146</v>
      </c>
      <c r="I503" s="98"/>
      <c r="J503" s="98" t="s">
        <v>1034</v>
      </c>
      <c r="K503" s="98" t="s">
        <v>1066</v>
      </c>
      <c r="L503" s="98" t="s">
        <v>234</v>
      </c>
      <c r="M503" s="98" t="s">
        <v>235</v>
      </c>
      <c r="N503" s="98"/>
      <c r="O503" s="98">
        <v>26</v>
      </c>
      <c r="P503" s="98"/>
      <c r="Q503" s="98"/>
      <c r="R503" s="98"/>
      <c r="S503" s="98"/>
      <c r="T503" s="98"/>
      <c r="U503" s="98"/>
      <c r="V503" s="98"/>
      <c r="W503" s="98"/>
      <c r="X503" s="101" t="str">
        <f t="shared" si="33"/>
        <v/>
      </c>
      <c r="Y503" s="111">
        <v>1427.6</v>
      </c>
      <c r="Z503" s="106" t="str">
        <f t="shared" si="32"/>
        <v/>
      </c>
      <c r="AA503" s="174"/>
      <c r="AB503" s="174"/>
      <c r="AC503" s="174"/>
      <c r="AD503" s="174"/>
      <c r="AE503" s="174"/>
      <c r="AF503" s="174"/>
      <c r="AG503" s="174"/>
      <c r="AH503" s="174"/>
      <c r="AI503" s="174"/>
      <c r="AJ503" s="174"/>
      <c r="AK503" s="174"/>
      <c r="AL503" s="174"/>
    </row>
    <row r="504" spans="1:38" s="107" customFormat="1">
      <c r="A504" s="97">
        <v>86</v>
      </c>
      <c r="B504" s="103" t="s">
        <v>223</v>
      </c>
      <c r="C504" s="103">
        <v>1991</v>
      </c>
      <c r="D504" s="103" t="s">
        <v>224</v>
      </c>
      <c r="E504" s="99" t="s">
        <v>20</v>
      </c>
      <c r="F504" s="127">
        <v>33009</v>
      </c>
      <c r="G504" s="98" t="s">
        <v>227</v>
      </c>
      <c r="H504" s="98" t="s">
        <v>146</v>
      </c>
      <c r="I504" s="98"/>
      <c r="J504" s="98" t="s">
        <v>1034</v>
      </c>
      <c r="K504" s="98" t="s">
        <v>1066</v>
      </c>
      <c r="L504" s="98" t="s">
        <v>234</v>
      </c>
      <c r="M504" s="98" t="s">
        <v>235</v>
      </c>
      <c r="N504" s="98"/>
      <c r="O504" s="98">
        <v>29</v>
      </c>
      <c r="P504" s="98"/>
      <c r="Q504" s="98"/>
      <c r="R504" s="98"/>
      <c r="S504" s="98"/>
      <c r="T504" s="98"/>
      <c r="U504" s="98"/>
      <c r="V504" s="98"/>
      <c r="W504" s="98"/>
      <c r="X504" s="101" t="str">
        <f t="shared" si="33"/>
        <v/>
      </c>
      <c r="Y504" s="111">
        <v>1428.7</v>
      </c>
      <c r="Z504" s="106" t="str">
        <f t="shared" si="32"/>
        <v/>
      </c>
      <c r="AA504" s="174"/>
      <c r="AB504" s="174"/>
      <c r="AC504" s="174"/>
      <c r="AD504" s="174"/>
      <c r="AE504" s="174"/>
      <c r="AF504" s="174"/>
      <c r="AG504" s="174"/>
      <c r="AH504" s="174"/>
      <c r="AI504" s="174"/>
      <c r="AJ504" s="174"/>
      <c r="AK504" s="174"/>
      <c r="AL504" s="174"/>
    </row>
    <row r="505" spans="1:38" s="107" customFormat="1">
      <c r="A505" s="97">
        <v>86</v>
      </c>
      <c r="B505" s="103" t="s">
        <v>223</v>
      </c>
      <c r="C505" s="103">
        <v>1991</v>
      </c>
      <c r="D505" s="103" t="s">
        <v>224</v>
      </c>
      <c r="E505" s="99" t="s">
        <v>20</v>
      </c>
      <c r="F505" s="127">
        <v>33093</v>
      </c>
      <c r="G505" s="98" t="s">
        <v>227</v>
      </c>
      <c r="H505" s="98" t="s">
        <v>146</v>
      </c>
      <c r="I505" s="98"/>
      <c r="J505" s="98" t="s">
        <v>1034</v>
      </c>
      <c r="K505" s="98" t="s">
        <v>1066</v>
      </c>
      <c r="L505" s="98" t="s">
        <v>234</v>
      </c>
      <c r="M505" s="98" t="s">
        <v>235</v>
      </c>
      <c r="N505" s="98"/>
      <c r="O505" s="98">
        <v>43</v>
      </c>
      <c r="P505" s="98"/>
      <c r="Q505" s="98"/>
      <c r="R505" s="98"/>
      <c r="S505" s="98"/>
      <c r="T505" s="98"/>
      <c r="U505" s="98"/>
      <c r="V505" s="98"/>
      <c r="W505" s="98"/>
      <c r="X505" s="101" t="str">
        <f t="shared" si="33"/>
        <v/>
      </c>
      <c r="Y505" s="111">
        <v>1434.5</v>
      </c>
      <c r="Z505" s="106" t="str">
        <f t="shared" si="32"/>
        <v/>
      </c>
      <c r="AA505" s="174"/>
      <c r="AB505" s="174"/>
      <c r="AC505" s="174"/>
      <c r="AD505" s="174"/>
      <c r="AE505" s="174"/>
      <c r="AF505" s="174"/>
      <c r="AG505" s="174"/>
      <c r="AH505" s="174"/>
      <c r="AI505" s="174"/>
      <c r="AJ505" s="174"/>
      <c r="AK505" s="174"/>
      <c r="AL505" s="174"/>
    </row>
    <row r="506" spans="1:38" s="107" customFormat="1">
      <c r="A506" s="97">
        <v>86</v>
      </c>
      <c r="B506" s="103" t="s">
        <v>223</v>
      </c>
      <c r="C506" s="103">
        <v>1991</v>
      </c>
      <c r="D506" s="103" t="s">
        <v>224</v>
      </c>
      <c r="E506" s="99" t="s">
        <v>20</v>
      </c>
      <c r="F506" s="127">
        <v>33093</v>
      </c>
      <c r="G506" s="98" t="s">
        <v>227</v>
      </c>
      <c r="H506" s="98" t="s">
        <v>146</v>
      </c>
      <c r="I506" s="98"/>
      <c r="J506" s="98" t="s">
        <v>1034</v>
      </c>
      <c r="K506" s="98" t="s">
        <v>1066</v>
      </c>
      <c r="L506" s="98" t="s">
        <v>234</v>
      </c>
      <c r="M506" s="98" t="s">
        <v>235</v>
      </c>
      <c r="N506" s="98"/>
      <c r="O506" s="98">
        <v>35</v>
      </c>
      <c r="P506" s="98"/>
      <c r="Q506" s="98"/>
      <c r="R506" s="98"/>
      <c r="S506" s="98"/>
      <c r="T506" s="98"/>
      <c r="U506" s="98"/>
      <c r="V506" s="98"/>
      <c r="W506" s="98"/>
      <c r="X506" s="101" t="str">
        <f t="shared" si="33"/>
        <v/>
      </c>
      <c r="Y506" s="111">
        <v>1449.5</v>
      </c>
      <c r="Z506" s="106" t="str">
        <f t="shared" si="32"/>
        <v/>
      </c>
      <c r="AA506" s="174"/>
      <c r="AB506" s="174"/>
      <c r="AC506" s="174"/>
      <c r="AD506" s="174"/>
      <c r="AE506" s="174"/>
      <c r="AF506" s="174"/>
      <c r="AG506" s="174"/>
      <c r="AH506" s="174"/>
      <c r="AI506" s="174"/>
      <c r="AJ506" s="174"/>
      <c r="AK506" s="174"/>
      <c r="AL506" s="174"/>
    </row>
    <row r="507" spans="1:38" s="107" customFormat="1">
      <c r="A507" s="97">
        <v>86</v>
      </c>
      <c r="B507" s="103" t="s">
        <v>223</v>
      </c>
      <c r="C507" s="103">
        <v>1991</v>
      </c>
      <c r="D507" s="103" t="s">
        <v>224</v>
      </c>
      <c r="E507" s="99" t="s">
        <v>20</v>
      </c>
      <c r="F507" s="127">
        <v>32961</v>
      </c>
      <c r="G507" s="98" t="s">
        <v>227</v>
      </c>
      <c r="H507" s="98" t="s">
        <v>146</v>
      </c>
      <c r="I507" s="98"/>
      <c r="J507" s="98" t="s">
        <v>1034</v>
      </c>
      <c r="K507" s="98" t="s">
        <v>1066</v>
      </c>
      <c r="L507" s="98" t="s">
        <v>234</v>
      </c>
      <c r="M507" s="98" t="s">
        <v>235</v>
      </c>
      <c r="N507" s="98"/>
      <c r="O507" s="98">
        <v>21</v>
      </c>
      <c r="P507" s="98"/>
      <c r="Q507" s="98"/>
      <c r="R507" s="98"/>
      <c r="S507" s="98"/>
      <c r="T507" s="98"/>
      <c r="U507" s="98"/>
      <c r="V507" s="98"/>
      <c r="W507" s="98"/>
      <c r="X507" s="101" t="str">
        <f t="shared" si="33"/>
        <v/>
      </c>
      <c r="Y507" s="111">
        <v>1451.9</v>
      </c>
      <c r="Z507" s="106" t="str">
        <f t="shared" si="32"/>
        <v/>
      </c>
      <c r="AA507" s="174"/>
      <c r="AB507" s="174"/>
      <c r="AC507" s="174"/>
      <c r="AD507" s="174"/>
      <c r="AE507" s="174"/>
      <c r="AF507" s="174"/>
      <c r="AG507" s="174"/>
      <c r="AH507" s="174"/>
      <c r="AI507" s="174"/>
      <c r="AJ507" s="174"/>
      <c r="AK507" s="174"/>
      <c r="AL507" s="174"/>
    </row>
    <row r="508" spans="1:38" s="107" customFormat="1">
      <c r="A508" s="97">
        <v>86</v>
      </c>
      <c r="B508" s="103" t="s">
        <v>223</v>
      </c>
      <c r="C508" s="103">
        <v>1991</v>
      </c>
      <c r="D508" s="103" t="s">
        <v>224</v>
      </c>
      <c r="E508" s="99" t="s">
        <v>20</v>
      </c>
      <c r="F508" s="127">
        <v>33093</v>
      </c>
      <c r="G508" s="98" t="s">
        <v>227</v>
      </c>
      <c r="H508" s="98" t="s">
        <v>146</v>
      </c>
      <c r="I508" s="98"/>
      <c r="J508" s="98" t="s">
        <v>1034</v>
      </c>
      <c r="K508" s="98" t="s">
        <v>1066</v>
      </c>
      <c r="L508" s="98" t="s">
        <v>234</v>
      </c>
      <c r="M508" s="98" t="s">
        <v>235</v>
      </c>
      <c r="N508" s="98"/>
      <c r="O508" s="98">
        <v>39</v>
      </c>
      <c r="P508" s="98"/>
      <c r="Q508" s="98"/>
      <c r="R508" s="98"/>
      <c r="S508" s="98"/>
      <c r="T508" s="98"/>
      <c r="U508" s="98"/>
      <c r="V508" s="98"/>
      <c r="W508" s="98"/>
      <c r="X508" s="101" t="str">
        <f t="shared" si="33"/>
        <v/>
      </c>
      <c r="Y508" s="111">
        <v>1452.7</v>
      </c>
      <c r="Z508" s="106" t="str">
        <f t="shared" si="32"/>
        <v/>
      </c>
      <c r="AA508" s="174"/>
      <c r="AB508" s="174"/>
      <c r="AC508" s="174"/>
      <c r="AD508" s="174"/>
      <c r="AE508" s="174"/>
      <c r="AF508" s="174"/>
      <c r="AG508" s="174"/>
      <c r="AH508" s="174"/>
      <c r="AI508" s="174"/>
      <c r="AJ508" s="174"/>
      <c r="AK508" s="174"/>
      <c r="AL508" s="174"/>
    </row>
    <row r="509" spans="1:38" s="107" customFormat="1">
      <c r="A509" s="97">
        <v>86</v>
      </c>
      <c r="B509" s="103" t="s">
        <v>223</v>
      </c>
      <c r="C509" s="103">
        <v>1991</v>
      </c>
      <c r="D509" s="103" t="s">
        <v>224</v>
      </c>
      <c r="E509" s="99" t="s">
        <v>20</v>
      </c>
      <c r="F509" s="127">
        <v>32857</v>
      </c>
      <c r="G509" s="98" t="s">
        <v>227</v>
      </c>
      <c r="H509" s="98" t="s">
        <v>146</v>
      </c>
      <c r="I509" s="98"/>
      <c r="J509" s="98" t="s">
        <v>1034</v>
      </c>
      <c r="K509" s="98" t="s">
        <v>1066</v>
      </c>
      <c r="L509" s="98" t="s">
        <v>234</v>
      </c>
      <c r="M509" s="98" t="s">
        <v>235</v>
      </c>
      <c r="N509" s="98"/>
      <c r="O509" s="98">
        <v>4</v>
      </c>
      <c r="P509" s="98"/>
      <c r="Q509" s="98"/>
      <c r="R509" s="98"/>
      <c r="S509" s="98"/>
      <c r="T509" s="98"/>
      <c r="U509" s="98"/>
      <c r="V509" s="98"/>
      <c r="W509" s="98"/>
      <c r="X509" s="101" t="str">
        <f t="shared" si="33"/>
        <v/>
      </c>
      <c r="Y509" s="111">
        <v>1495</v>
      </c>
      <c r="Z509" s="106" t="str">
        <f t="shared" si="32"/>
        <v/>
      </c>
      <c r="AA509" s="174"/>
      <c r="AB509" s="174"/>
      <c r="AC509" s="174"/>
      <c r="AD509" s="174"/>
      <c r="AE509" s="174"/>
      <c r="AF509" s="174"/>
      <c r="AG509" s="174"/>
      <c r="AH509" s="174"/>
      <c r="AI509" s="174"/>
      <c r="AJ509" s="174"/>
      <c r="AK509" s="174"/>
      <c r="AL509" s="174"/>
    </row>
    <row r="510" spans="1:38" s="107" customFormat="1">
      <c r="A510" s="97">
        <v>86</v>
      </c>
      <c r="B510" s="103" t="s">
        <v>223</v>
      </c>
      <c r="C510" s="103">
        <v>1991</v>
      </c>
      <c r="D510" s="103" t="s">
        <v>224</v>
      </c>
      <c r="E510" s="99" t="s">
        <v>20</v>
      </c>
      <c r="F510" s="127">
        <v>32961</v>
      </c>
      <c r="G510" s="98" t="s">
        <v>227</v>
      </c>
      <c r="H510" s="98" t="s">
        <v>146</v>
      </c>
      <c r="I510" s="98"/>
      <c r="J510" s="98" t="s">
        <v>1034</v>
      </c>
      <c r="K510" s="98" t="s">
        <v>1066</v>
      </c>
      <c r="L510" s="98" t="s">
        <v>234</v>
      </c>
      <c r="M510" s="98" t="s">
        <v>235</v>
      </c>
      <c r="N510" s="98"/>
      <c r="O510" s="98">
        <v>17</v>
      </c>
      <c r="P510" s="98"/>
      <c r="Q510" s="98"/>
      <c r="R510" s="98"/>
      <c r="S510" s="98"/>
      <c r="T510" s="98"/>
      <c r="U510" s="98"/>
      <c r="V510" s="98"/>
      <c r="W510" s="98"/>
      <c r="X510" s="101" t="str">
        <f t="shared" si="33"/>
        <v/>
      </c>
      <c r="Y510" s="111">
        <v>1527.5</v>
      </c>
      <c r="Z510" s="106" t="str">
        <f t="shared" si="32"/>
        <v/>
      </c>
      <c r="AA510" s="174"/>
      <c r="AB510" s="174"/>
      <c r="AC510" s="174"/>
      <c r="AD510" s="174"/>
      <c r="AE510" s="174"/>
      <c r="AF510" s="174"/>
      <c r="AG510" s="174"/>
      <c r="AH510" s="174"/>
      <c r="AI510" s="174"/>
      <c r="AJ510" s="174"/>
      <c r="AK510" s="174"/>
      <c r="AL510" s="174"/>
    </row>
    <row r="511" spans="1:38" s="107" customFormat="1">
      <c r="A511" s="97">
        <v>86</v>
      </c>
      <c r="B511" s="103" t="s">
        <v>223</v>
      </c>
      <c r="C511" s="103">
        <v>1991</v>
      </c>
      <c r="D511" s="103" t="s">
        <v>224</v>
      </c>
      <c r="E511" s="99" t="s">
        <v>20</v>
      </c>
      <c r="F511" s="127">
        <v>32961</v>
      </c>
      <c r="G511" s="98" t="s">
        <v>227</v>
      </c>
      <c r="H511" s="98" t="s">
        <v>146</v>
      </c>
      <c r="I511" s="98"/>
      <c r="J511" s="98" t="s">
        <v>1034</v>
      </c>
      <c r="K511" s="98" t="s">
        <v>1066</v>
      </c>
      <c r="L511" s="98" t="s">
        <v>234</v>
      </c>
      <c r="M511" s="98" t="s">
        <v>235</v>
      </c>
      <c r="N511" s="98"/>
      <c r="O511" s="98">
        <v>11</v>
      </c>
      <c r="P511" s="98"/>
      <c r="Q511" s="98"/>
      <c r="R511" s="98"/>
      <c r="S511" s="98"/>
      <c r="T511" s="98"/>
      <c r="U511" s="98"/>
      <c r="V511" s="98"/>
      <c r="W511" s="98"/>
      <c r="X511" s="101" t="str">
        <f t="shared" si="33"/>
        <v/>
      </c>
      <c r="Y511" s="111">
        <v>1604.9</v>
      </c>
      <c r="Z511" s="106" t="str">
        <f t="shared" si="32"/>
        <v/>
      </c>
      <c r="AA511" s="174"/>
      <c r="AB511" s="174"/>
      <c r="AC511" s="174"/>
      <c r="AD511" s="174"/>
      <c r="AE511" s="174"/>
      <c r="AF511" s="174"/>
      <c r="AG511" s="174"/>
      <c r="AH511" s="174"/>
      <c r="AI511" s="174"/>
      <c r="AJ511" s="174"/>
      <c r="AK511" s="174"/>
      <c r="AL511" s="174"/>
    </row>
    <row r="512" spans="1:38" s="107" customFormat="1">
      <c r="A512" s="97">
        <v>63</v>
      </c>
      <c r="B512" s="103" t="s">
        <v>168</v>
      </c>
      <c r="C512" s="103">
        <v>1989</v>
      </c>
      <c r="D512" s="103" t="s">
        <v>169</v>
      </c>
      <c r="E512" s="99" t="s">
        <v>172</v>
      </c>
      <c r="F512" s="127">
        <v>31950</v>
      </c>
      <c r="G512" s="98" t="s">
        <v>173</v>
      </c>
      <c r="H512" s="98" t="s">
        <v>146</v>
      </c>
      <c r="I512" s="174"/>
      <c r="J512" s="101" t="s">
        <v>1034</v>
      </c>
      <c r="K512" s="108" t="s">
        <v>1039</v>
      </c>
      <c r="L512" s="98" t="s">
        <v>174</v>
      </c>
      <c r="M512" s="98"/>
      <c r="N512" s="98"/>
      <c r="O512" s="98" t="s">
        <v>150</v>
      </c>
      <c r="P512" s="98"/>
      <c r="Q512" s="98"/>
      <c r="R512" s="98"/>
      <c r="S512" s="98"/>
      <c r="T512" s="98"/>
      <c r="U512" s="98"/>
      <c r="V512" s="98"/>
      <c r="W512" s="98"/>
      <c r="X512" s="101" t="str">
        <f t="shared" si="33"/>
        <v/>
      </c>
      <c r="Y512" s="111">
        <v>1650</v>
      </c>
      <c r="Z512" s="106" t="str">
        <f t="shared" si="32"/>
        <v/>
      </c>
      <c r="AA512" s="174"/>
      <c r="AB512" s="174"/>
      <c r="AC512" s="174"/>
      <c r="AD512" s="174"/>
      <c r="AE512" s="174"/>
      <c r="AF512" s="174"/>
      <c r="AG512" s="174"/>
      <c r="AH512" s="174"/>
      <c r="AI512" s="174"/>
      <c r="AJ512" s="174"/>
      <c r="AK512" s="174"/>
      <c r="AL512" s="174"/>
    </row>
    <row r="513" spans="1:38" s="107" customFormat="1">
      <c r="A513" s="97">
        <v>63</v>
      </c>
      <c r="B513" s="103" t="s">
        <v>168</v>
      </c>
      <c r="C513" s="103">
        <v>1989</v>
      </c>
      <c r="D513" s="103" t="s">
        <v>169</v>
      </c>
      <c r="E513" s="99" t="s">
        <v>172</v>
      </c>
      <c r="F513" s="127">
        <v>31758</v>
      </c>
      <c r="G513" s="98" t="s">
        <v>173</v>
      </c>
      <c r="H513" s="98" t="s">
        <v>146</v>
      </c>
      <c r="I513" s="174"/>
      <c r="J513" s="101" t="s">
        <v>1034</v>
      </c>
      <c r="K513" s="108" t="s">
        <v>1039</v>
      </c>
      <c r="L513" s="98" t="s">
        <v>174</v>
      </c>
      <c r="M513" s="98"/>
      <c r="N513" s="98"/>
      <c r="O513" s="98" t="s">
        <v>175</v>
      </c>
      <c r="P513" s="98"/>
      <c r="Q513" s="98"/>
      <c r="R513" s="98"/>
      <c r="S513" s="98"/>
      <c r="T513" s="98"/>
      <c r="U513" s="98"/>
      <c r="V513" s="98"/>
      <c r="W513" s="98"/>
      <c r="X513" s="101" t="str">
        <f t="shared" si="33"/>
        <v/>
      </c>
      <c r="Y513" s="111">
        <v>1664</v>
      </c>
      <c r="Z513" s="106" t="str">
        <f t="shared" si="32"/>
        <v/>
      </c>
      <c r="AA513" s="174"/>
      <c r="AB513" s="174"/>
      <c r="AC513" s="174"/>
      <c r="AD513" s="174"/>
      <c r="AE513" s="174"/>
      <c r="AF513" s="174"/>
      <c r="AG513" s="174"/>
      <c r="AH513" s="174"/>
      <c r="AI513" s="174"/>
      <c r="AJ513" s="174"/>
      <c r="AK513" s="174"/>
      <c r="AL513" s="174"/>
    </row>
    <row r="514" spans="1:38" s="107" customFormat="1">
      <c r="A514" s="97">
        <v>63</v>
      </c>
      <c r="B514" s="103" t="s">
        <v>168</v>
      </c>
      <c r="C514" s="103">
        <v>1989</v>
      </c>
      <c r="D514" s="103" t="s">
        <v>169</v>
      </c>
      <c r="E514" s="112" t="s">
        <v>172</v>
      </c>
      <c r="F514" s="134">
        <v>31749</v>
      </c>
      <c r="G514" s="98" t="s">
        <v>183</v>
      </c>
      <c r="H514" s="108" t="s">
        <v>146</v>
      </c>
      <c r="I514" s="174"/>
      <c r="J514" s="101" t="s">
        <v>1034</v>
      </c>
      <c r="K514" s="108" t="s">
        <v>1038</v>
      </c>
      <c r="L514" s="119" t="s">
        <v>182</v>
      </c>
      <c r="M514" s="119"/>
      <c r="N514" s="119"/>
      <c r="O514" s="119" t="s">
        <v>148</v>
      </c>
      <c r="P514" s="119"/>
      <c r="Q514" s="119"/>
      <c r="R514" s="98"/>
      <c r="S514" s="98"/>
      <c r="T514" s="98"/>
      <c r="U514" s="119"/>
      <c r="V514" s="119"/>
      <c r="W514" s="119"/>
      <c r="X514" s="101" t="str">
        <f t="shared" si="33"/>
        <v/>
      </c>
      <c r="Y514" s="223">
        <v>1748</v>
      </c>
      <c r="Z514" s="106" t="str">
        <f t="shared" si="32"/>
        <v/>
      </c>
      <c r="AA514" s="174"/>
      <c r="AB514" s="174"/>
      <c r="AC514" s="174"/>
      <c r="AD514" s="174"/>
      <c r="AE514" s="174"/>
      <c r="AF514" s="174"/>
      <c r="AG514" s="174"/>
      <c r="AH514" s="174"/>
      <c r="AI514" s="174"/>
      <c r="AJ514" s="174"/>
      <c r="AK514" s="174"/>
      <c r="AL514" s="174"/>
    </row>
    <row r="519" spans="1:38">
      <c r="A519" s="53">
        <v>174</v>
      </c>
      <c r="B519" s="54" t="s">
        <v>697</v>
      </c>
      <c r="C519" s="54">
        <v>2009</v>
      </c>
      <c r="D519" s="55" t="s">
        <v>698</v>
      </c>
      <c r="E519" s="56" t="s">
        <v>20</v>
      </c>
      <c r="F519" s="57" t="s">
        <v>701</v>
      </c>
      <c r="G519" s="54"/>
      <c r="H519" s="54"/>
      <c r="I519" s="54"/>
      <c r="J519" s="160" t="s">
        <v>1034</v>
      </c>
      <c r="K519" s="54" t="s">
        <v>1098</v>
      </c>
      <c r="L519" s="54" t="s">
        <v>722</v>
      </c>
      <c r="M519" s="59"/>
      <c r="N519" s="59"/>
      <c r="O519" s="54" t="s">
        <v>723</v>
      </c>
      <c r="P519" s="60"/>
      <c r="Q519" s="60"/>
      <c r="R519" s="54"/>
      <c r="S519" s="54"/>
      <c r="T519" s="54"/>
      <c r="U519" s="61">
        <v>0.90500000000000003</v>
      </c>
      <c r="V519" s="167"/>
      <c r="W519" s="167"/>
      <c r="X519" s="58">
        <f t="shared" ref="X519:X527" si="34">IF(R519&lt;&gt;0,IF(R519&gt;1,R519/100,R519),IF(U519&lt;&gt;0,IF(U519&gt;1,U519/100,U519),""))</f>
        <v>0.90500000000000003</v>
      </c>
      <c r="Y519" s="219">
        <v>1489</v>
      </c>
      <c r="Z519" s="63" t="str">
        <f t="shared" ref="Z519:Z527" si="35">IF(X519&lt;&gt;"",IF(X519&lt;0.9,"S","F"),"")</f>
        <v>F</v>
      </c>
    </row>
    <row r="520" spans="1:38">
      <c r="A520" s="53">
        <v>174</v>
      </c>
      <c r="B520" s="54" t="s">
        <v>697</v>
      </c>
      <c r="C520" s="54">
        <v>2009</v>
      </c>
      <c r="D520" s="55" t="s">
        <v>698</v>
      </c>
      <c r="E520" s="56" t="s">
        <v>20</v>
      </c>
      <c r="F520" s="57" t="s">
        <v>701</v>
      </c>
      <c r="G520" s="54" t="s">
        <v>745</v>
      </c>
      <c r="H520" s="54" t="s">
        <v>746</v>
      </c>
      <c r="I520" s="54"/>
      <c r="J520" s="160" t="s">
        <v>1034</v>
      </c>
      <c r="K520" s="54" t="s">
        <v>1089</v>
      </c>
      <c r="L520" s="54" t="s">
        <v>753</v>
      </c>
      <c r="M520" s="59"/>
      <c r="N520" s="59"/>
      <c r="O520" s="54" t="s">
        <v>754</v>
      </c>
      <c r="P520" s="60"/>
      <c r="Q520" s="60"/>
      <c r="R520" s="54"/>
      <c r="S520" s="54"/>
      <c r="T520" s="54"/>
      <c r="U520" s="61">
        <v>0.93500000000000005</v>
      </c>
      <c r="V520" s="167"/>
      <c r="W520" s="167"/>
      <c r="X520" s="58">
        <f t="shared" si="34"/>
        <v>0.93500000000000005</v>
      </c>
      <c r="Y520" s="219">
        <v>1529</v>
      </c>
      <c r="Z520" s="63" t="str">
        <f t="shared" si="35"/>
        <v>F</v>
      </c>
    </row>
    <row r="521" spans="1:38">
      <c r="A521" s="53">
        <v>197</v>
      </c>
      <c r="B521" s="64" t="s">
        <v>875</v>
      </c>
      <c r="C521" s="96">
        <v>2007</v>
      </c>
      <c r="D521" s="64" t="s">
        <v>928</v>
      </c>
      <c r="E521" s="56" t="s">
        <v>20</v>
      </c>
      <c r="F521" s="54">
        <v>2003</v>
      </c>
      <c r="G521" s="54" t="s">
        <v>326</v>
      </c>
      <c r="H521" s="54" t="s">
        <v>159</v>
      </c>
      <c r="I521" s="54"/>
      <c r="J521" s="160" t="s">
        <v>1034</v>
      </c>
      <c r="K521" s="54" t="s">
        <v>1101</v>
      </c>
      <c r="L521" s="54" t="s">
        <v>366</v>
      </c>
      <c r="M521" s="54"/>
      <c r="N521" s="54"/>
      <c r="O521" s="54" t="s">
        <v>933</v>
      </c>
      <c r="P521" s="54">
        <v>0.96</v>
      </c>
      <c r="Q521" s="54">
        <v>0.86</v>
      </c>
      <c r="R521" s="54">
        <v>0.93</v>
      </c>
      <c r="S521" s="54">
        <v>0.98</v>
      </c>
      <c r="T521" s="54">
        <v>0.88</v>
      </c>
      <c r="U521" s="54">
        <v>0.95</v>
      </c>
      <c r="V521" s="54">
        <v>1692.2</v>
      </c>
      <c r="W521" s="54">
        <v>1506.4</v>
      </c>
      <c r="X521" s="58">
        <f t="shared" si="34"/>
        <v>0.93</v>
      </c>
      <c r="Y521" s="72">
        <v>1628.2</v>
      </c>
      <c r="Z521" s="63" t="str">
        <f t="shared" si="35"/>
        <v>F</v>
      </c>
    </row>
    <row r="522" spans="1:38">
      <c r="A522" s="53">
        <v>203</v>
      </c>
      <c r="B522" s="64" t="s">
        <v>940</v>
      </c>
      <c r="C522" s="96">
        <v>2011</v>
      </c>
      <c r="D522" s="64" t="s">
        <v>941</v>
      </c>
      <c r="E522" s="56" t="s">
        <v>20</v>
      </c>
      <c r="F522" s="54">
        <v>2009</v>
      </c>
      <c r="G522" s="54" t="s">
        <v>326</v>
      </c>
      <c r="H522" s="54"/>
      <c r="I522" s="54"/>
      <c r="J522" s="160" t="s">
        <v>1034</v>
      </c>
      <c r="K522" s="54" t="s">
        <v>1101</v>
      </c>
      <c r="L522" s="54" t="s">
        <v>946</v>
      </c>
      <c r="M522" s="54"/>
      <c r="N522" s="54"/>
      <c r="O522" s="54">
        <v>53</v>
      </c>
      <c r="P522" s="54"/>
      <c r="Q522" s="54"/>
      <c r="R522" s="54"/>
      <c r="S522" s="54"/>
      <c r="T522" s="54"/>
      <c r="U522" s="54">
        <v>0.93</v>
      </c>
      <c r="V522" s="54"/>
      <c r="W522" s="54"/>
      <c r="X522" s="58">
        <f t="shared" si="34"/>
        <v>0.93</v>
      </c>
      <c r="Y522" s="72">
        <v>1733</v>
      </c>
      <c r="Z522" s="63" t="str">
        <f t="shared" si="35"/>
        <v>F</v>
      </c>
    </row>
    <row r="523" spans="1:38">
      <c r="A523" s="53">
        <v>203</v>
      </c>
      <c r="B523" s="64" t="s">
        <v>940</v>
      </c>
      <c r="C523" s="96">
        <v>2011</v>
      </c>
      <c r="D523" s="64" t="s">
        <v>941</v>
      </c>
      <c r="E523" s="56" t="s">
        <v>20</v>
      </c>
      <c r="F523" s="54">
        <v>2009</v>
      </c>
      <c r="G523" s="54" t="s">
        <v>326</v>
      </c>
      <c r="H523" s="54"/>
      <c r="I523" s="54"/>
      <c r="J523" s="160" t="s">
        <v>1034</v>
      </c>
      <c r="K523" s="54" t="s">
        <v>1101</v>
      </c>
      <c r="L523" s="54" t="s">
        <v>945</v>
      </c>
      <c r="M523" s="54"/>
      <c r="N523" s="54"/>
      <c r="O523" s="54">
        <v>49</v>
      </c>
      <c r="P523" s="54"/>
      <c r="Q523" s="54"/>
      <c r="R523" s="54"/>
      <c r="S523" s="54"/>
      <c r="T523" s="54"/>
      <c r="U523" s="54">
        <v>0.92</v>
      </c>
      <c r="V523" s="54"/>
      <c r="W523" s="54"/>
      <c r="X523" s="58">
        <f t="shared" si="34"/>
        <v>0.92</v>
      </c>
      <c r="Y523" s="72">
        <v>1714</v>
      </c>
      <c r="Z523" s="63" t="str">
        <f t="shared" si="35"/>
        <v>F</v>
      </c>
    </row>
    <row r="524" spans="1:38">
      <c r="A524" s="53">
        <v>174</v>
      </c>
      <c r="B524" s="54" t="s">
        <v>697</v>
      </c>
      <c r="C524" s="54">
        <v>2009</v>
      </c>
      <c r="D524" s="55" t="s">
        <v>698</v>
      </c>
      <c r="E524" s="56" t="s">
        <v>20</v>
      </c>
      <c r="F524" s="57" t="s">
        <v>701</v>
      </c>
      <c r="G524" s="54" t="s">
        <v>714</v>
      </c>
      <c r="H524" s="54" t="s">
        <v>159</v>
      </c>
      <c r="I524" s="54"/>
      <c r="J524" s="160" t="s">
        <v>1034</v>
      </c>
      <c r="K524" s="54" t="s">
        <v>1101</v>
      </c>
      <c r="L524" s="54" t="s">
        <v>167</v>
      </c>
      <c r="M524" s="59"/>
      <c r="N524" s="59"/>
      <c r="O524" s="54" t="s">
        <v>167</v>
      </c>
      <c r="P524" s="60"/>
      <c r="Q524" s="60"/>
      <c r="R524" s="54"/>
      <c r="S524" s="54"/>
      <c r="T524" s="54"/>
      <c r="U524" s="61">
        <v>0.88900000000000001</v>
      </c>
      <c r="V524" s="167"/>
      <c r="W524" s="167"/>
      <c r="X524" s="58">
        <f t="shared" si="34"/>
        <v>0.88900000000000001</v>
      </c>
      <c r="Y524" s="219">
        <v>1437</v>
      </c>
      <c r="Z524" s="63" t="str">
        <f t="shared" si="35"/>
        <v>S</v>
      </c>
    </row>
    <row r="525" spans="1:38">
      <c r="A525" s="53">
        <v>174</v>
      </c>
      <c r="B525" s="54" t="s">
        <v>697</v>
      </c>
      <c r="C525" s="54">
        <v>2009</v>
      </c>
      <c r="D525" s="55" t="s">
        <v>698</v>
      </c>
      <c r="E525" s="56" t="s">
        <v>20</v>
      </c>
      <c r="F525" s="57" t="s">
        <v>701</v>
      </c>
      <c r="G525" s="54" t="s">
        <v>745</v>
      </c>
      <c r="H525" s="54" t="s">
        <v>746</v>
      </c>
      <c r="I525" s="54"/>
      <c r="J525" s="160" t="s">
        <v>1034</v>
      </c>
      <c r="K525" s="54" t="s">
        <v>1105</v>
      </c>
      <c r="L525" s="54" t="s">
        <v>747</v>
      </c>
      <c r="M525" s="59"/>
      <c r="N525" s="59"/>
      <c r="O525" s="54" t="s">
        <v>748</v>
      </c>
      <c r="P525" s="60"/>
      <c r="Q525" s="60"/>
      <c r="R525" s="54"/>
      <c r="S525" s="54"/>
      <c r="T525" s="54"/>
      <c r="U525" s="61">
        <v>0.95599999999999996</v>
      </c>
      <c r="V525" s="167"/>
      <c r="W525" s="167"/>
      <c r="X525" s="58">
        <f t="shared" si="34"/>
        <v>0.95599999999999996</v>
      </c>
      <c r="Y525" s="219">
        <v>1713</v>
      </c>
      <c r="Z525" s="63" t="str">
        <f t="shared" si="35"/>
        <v>F</v>
      </c>
    </row>
    <row r="526" spans="1:38">
      <c r="B526" s="67" t="s">
        <v>1025</v>
      </c>
      <c r="C526" s="171">
        <v>1996</v>
      </c>
      <c r="E526" s="162" t="s">
        <v>49</v>
      </c>
      <c r="H526" s="67" t="s">
        <v>146</v>
      </c>
      <c r="J526" s="66" t="s">
        <v>1034</v>
      </c>
      <c r="K526" s="54" t="s">
        <v>1037</v>
      </c>
      <c r="L526" s="54" t="s">
        <v>1030</v>
      </c>
      <c r="O526" s="67" t="s">
        <v>1026</v>
      </c>
      <c r="S526" s="160">
        <v>89.82</v>
      </c>
      <c r="T526" s="160">
        <v>86.6</v>
      </c>
      <c r="V526" s="160">
        <f>3297/2</f>
        <v>1648.5</v>
      </c>
      <c r="W526" s="160">
        <f>3178.2/2</f>
        <v>1589.1</v>
      </c>
      <c r="X526" s="58" t="str">
        <f t="shared" si="34"/>
        <v/>
      </c>
      <c r="Z526" s="63" t="str">
        <f t="shared" si="35"/>
        <v/>
      </c>
    </row>
    <row r="527" spans="1:38">
      <c r="A527" s="53">
        <v>172</v>
      </c>
      <c r="B527" s="54" t="s">
        <v>585</v>
      </c>
      <c r="C527" s="54">
        <v>2010</v>
      </c>
      <c r="D527" s="54" t="s">
        <v>586</v>
      </c>
      <c r="E527" s="56" t="s">
        <v>589</v>
      </c>
      <c r="F527" s="57">
        <v>40224</v>
      </c>
      <c r="G527" s="54" t="s">
        <v>608</v>
      </c>
      <c r="H527" s="54" t="s">
        <v>581</v>
      </c>
      <c r="I527" s="54"/>
      <c r="J527" s="66" t="s">
        <v>1034</v>
      </c>
      <c r="K527" s="54" t="s">
        <v>1061</v>
      </c>
      <c r="L527" s="54" t="s">
        <v>609</v>
      </c>
      <c r="M527" s="88" t="s">
        <v>610</v>
      </c>
      <c r="N527" s="88"/>
      <c r="O527" s="54"/>
      <c r="P527" s="60"/>
      <c r="Q527" s="60"/>
      <c r="R527" s="54"/>
      <c r="S527" s="54"/>
      <c r="T527" s="54"/>
      <c r="U527" s="60">
        <v>0.95399999999999996</v>
      </c>
      <c r="V527" s="60"/>
      <c r="W527" s="60"/>
      <c r="X527" s="58">
        <f t="shared" si="34"/>
        <v>0.95399999999999996</v>
      </c>
      <c r="Y527" s="225">
        <v>1688</v>
      </c>
      <c r="Z527" s="63" t="str">
        <f t="shared" si="35"/>
        <v>F</v>
      </c>
    </row>
    <row r="533" spans="1:25">
      <c r="A533" s="160" t="s">
        <v>1024</v>
      </c>
    </row>
    <row r="534" spans="1:25">
      <c r="A534" s="53">
        <v>193</v>
      </c>
      <c r="B534" s="64" t="s">
        <v>911</v>
      </c>
      <c r="C534" s="96">
        <v>2001</v>
      </c>
      <c r="D534" s="64" t="s">
        <v>912</v>
      </c>
      <c r="E534" s="56" t="s">
        <v>915</v>
      </c>
      <c r="F534" s="54">
        <v>2001</v>
      </c>
      <c r="G534" s="54"/>
      <c r="H534" s="54"/>
      <c r="I534" s="54"/>
      <c r="J534" s="54"/>
      <c r="K534" s="54"/>
      <c r="L534" s="54" t="s">
        <v>917</v>
      </c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72">
        <v>2611</v>
      </c>
    </row>
    <row r="535" spans="1:25">
      <c r="A535" s="53">
        <v>193</v>
      </c>
      <c r="B535" s="64" t="s">
        <v>911</v>
      </c>
      <c r="C535" s="96">
        <v>2001</v>
      </c>
      <c r="D535" s="64" t="s">
        <v>912</v>
      </c>
      <c r="E535" s="56" t="s">
        <v>915</v>
      </c>
      <c r="F535" s="54">
        <v>2001</v>
      </c>
      <c r="G535" s="54"/>
      <c r="H535" s="54"/>
      <c r="I535" s="54"/>
      <c r="J535" s="54"/>
      <c r="K535" s="54"/>
      <c r="L535" s="54" t="s">
        <v>919</v>
      </c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72">
        <v>1613</v>
      </c>
    </row>
    <row r="536" spans="1:25">
      <c r="A536" s="53">
        <v>193</v>
      </c>
      <c r="B536" s="64" t="s">
        <v>911</v>
      </c>
      <c r="C536" s="96">
        <v>2001</v>
      </c>
      <c r="D536" s="64" t="s">
        <v>912</v>
      </c>
      <c r="E536" s="56" t="s">
        <v>915</v>
      </c>
      <c r="F536" s="54">
        <v>2001</v>
      </c>
      <c r="G536" s="54"/>
      <c r="H536" s="54"/>
      <c r="I536" s="54"/>
      <c r="J536" s="54"/>
      <c r="K536" s="54"/>
      <c r="L536" s="54" t="s">
        <v>273</v>
      </c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72">
        <v>1580</v>
      </c>
    </row>
    <row r="537" spans="1:25">
      <c r="A537" s="53">
        <v>193</v>
      </c>
      <c r="B537" s="64" t="s">
        <v>911</v>
      </c>
      <c r="C537" s="96">
        <v>2001</v>
      </c>
      <c r="D537" s="64" t="s">
        <v>912</v>
      </c>
      <c r="E537" s="56" t="s">
        <v>915</v>
      </c>
      <c r="F537" s="54">
        <v>2001</v>
      </c>
      <c r="G537" s="54"/>
      <c r="H537" s="54"/>
      <c r="I537" s="54"/>
      <c r="J537" s="54"/>
      <c r="K537" s="54"/>
      <c r="L537" s="54" t="s">
        <v>916</v>
      </c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72">
        <v>1569</v>
      </c>
    </row>
    <row r="538" spans="1:25">
      <c r="A538" s="53">
        <v>193</v>
      </c>
      <c r="B538" s="64" t="s">
        <v>911</v>
      </c>
      <c r="C538" s="96">
        <v>2001</v>
      </c>
      <c r="D538" s="64" t="s">
        <v>912</v>
      </c>
      <c r="E538" s="56" t="s">
        <v>915</v>
      </c>
      <c r="F538" s="54">
        <v>2001</v>
      </c>
      <c r="G538" s="54"/>
      <c r="H538" s="54"/>
      <c r="I538" s="54"/>
      <c r="J538" s="54"/>
      <c r="K538" s="54"/>
      <c r="L538" s="54" t="s">
        <v>918</v>
      </c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72">
        <v>1550</v>
      </c>
    </row>
    <row r="539" spans="1:25">
      <c r="A539" s="53">
        <v>193</v>
      </c>
      <c r="B539" s="64" t="s">
        <v>911</v>
      </c>
      <c r="C539" s="96">
        <v>2001</v>
      </c>
      <c r="D539" s="64" t="s">
        <v>912</v>
      </c>
      <c r="E539" s="56" t="s">
        <v>915</v>
      </c>
      <c r="F539" s="54">
        <v>2001</v>
      </c>
      <c r="G539" s="54"/>
      <c r="H539" s="54"/>
      <c r="I539" s="54"/>
      <c r="J539" s="54"/>
      <c r="K539" s="54"/>
      <c r="L539" s="54" t="s">
        <v>274</v>
      </c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72">
        <v>1515</v>
      </c>
    </row>
    <row r="540" spans="1:25">
      <c r="A540" s="53">
        <v>193</v>
      </c>
      <c r="B540" s="54" t="s">
        <v>911</v>
      </c>
      <c r="C540" s="54">
        <v>2001</v>
      </c>
      <c r="D540" s="54" t="s">
        <v>912</v>
      </c>
      <c r="E540" s="56" t="s">
        <v>915</v>
      </c>
      <c r="F540" s="54">
        <v>2001</v>
      </c>
      <c r="G540" s="54"/>
      <c r="H540" s="54"/>
      <c r="I540" s="54"/>
      <c r="J540" s="54"/>
      <c r="K540" s="54"/>
      <c r="L540" s="54" t="s">
        <v>920</v>
      </c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72">
        <v>440</v>
      </c>
    </row>
    <row r="543" spans="1:25">
      <c r="A543" s="160" t="s">
        <v>1172</v>
      </c>
    </row>
    <row r="544" spans="1:25">
      <c r="A544" s="53">
        <v>80</v>
      </c>
      <c r="B544" s="54" t="s">
        <v>141</v>
      </c>
      <c r="C544" s="173">
        <v>1991</v>
      </c>
      <c r="D544" s="90" t="s">
        <v>201</v>
      </c>
      <c r="E544" s="56" t="s">
        <v>204</v>
      </c>
      <c r="F544" s="54">
        <v>1989</v>
      </c>
      <c r="G544" s="54" t="s">
        <v>181</v>
      </c>
      <c r="H544" s="78" t="s">
        <v>986</v>
      </c>
      <c r="L544" s="98" t="s">
        <v>215</v>
      </c>
      <c r="M544" s="54"/>
      <c r="N544" s="54"/>
      <c r="O544" s="98" t="s">
        <v>216</v>
      </c>
      <c r="P544" s="54"/>
      <c r="Q544" s="54"/>
      <c r="R544" s="54"/>
      <c r="S544" s="54"/>
      <c r="T544" s="54"/>
      <c r="U544" s="54"/>
      <c r="V544" s="54"/>
      <c r="W544" s="54"/>
      <c r="X544" s="54"/>
      <c r="Y544" s="72">
        <v>1646</v>
      </c>
    </row>
    <row r="545" spans="1:25">
      <c r="A545" s="53">
        <v>80</v>
      </c>
      <c r="B545" s="54" t="s">
        <v>141</v>
      </c>
      <c r="C545" s="173">
        <v>1991</v>
      </c>
      <c r="D545" s="90" t="s">
        <v>201</v>
      </c>
      <c r="E545" s="56" t="s">
        <v>204</v>
      </c>
      <c r="F545" s="54">
        <v>1988</v>
      </c>
      <c r="G545" s="54" t="s">
        <v>217</v>
      </c>
      <c r="H545" s="78" t="s">
        <v>986</v>
      </c>
      <c r="L545" s="208" t="s">
        <v>218</v>
      </c>
      <c r="M545" s="54"/>
      <c r="N545" s="54"/>
      <c r="O545" s="208" t="s">
        <v>219</v>
      </c>
      <c r="P545" s="54"/>
      <c r="Q545" s="54"/>
      <c r="R545" s="54"/>
      <c r="S545" s="54"/>
      <c r="T545" s="54"/>
      <c r="U545" s="54"/>
      <c r="V545" s="54"/>
      <c r="W545" s="54"/>
      <c r="X545" s="54"/>
      <c r="Y545" s="72">
        <v>1700</v>
      </c>
    </row>
    <row r="546" spans="1:25">
      <c r="A546" s="53">
        <v>80</v>
      </c>
      <c r="B546" s="54" t="s">
        <v>141</v>
      </c>
      <c r="C546" s="173">
        <v>1991</v>
      </c>
      <c r="D546" s="90" t="s">
        <v>201</v>
      </c>
      <c r="E546" s="56" t="s">
        <v>204</v>
      </c>
      <c r="F546" s="54">
        <v>1986</v>
      </c>
      <c r="G546" s="54" t="s">
        <v>213</v>
      </c>
      <c r="H546" s="54" t="s">
        <v>146</v>
      </c>
      <c r="J546" s="58" t="s">
        <v>1034</v>
      </c>
      <c r="K546" s="78" t="s">
        <v>1038</v>
      </c>
      <c r="L546" s="54" t="s">
        <v>182</v>
      </c>
      <c r="M546" s="54"/>
      <c r="N546" s="54"/>
      <c r="O546" s="54" t="s">
        <v>148</v>
      </c>
      <c r="P546" s="54"/>
      <c r="Q546" s="54"/>
      <c r="R546" s="54"/>
      <c r="S546" s="54"/>
      <c r="T546" s="54"/>
      <c r="U546" s="54"/>
      <c r="V546" s="54"/>
      <c r="W546" s="54"/>
      <c r="X546" s="54"/>
      <c r="Y546" s="72">
        <v>1748</v>
      </c>
    </row>
    <row r="547" spans="1:25">
      <c r="A547" s="53">
        <v>80</v>
      </c>
      <c r="B547" s="54" t="s">
        <v>141</v>
      </c>
      <c r="C547" s="173">
        <v>1991</v>
      </c>
      <c r="D547" s="90" t="s">
        <v>201</v>
      </c>
      <c r="E547" s="56" t="s">
        <v>204</v>
      </c>
      <c r="F547" s="54">
        <v>1986</v>
      </c>
      <c r="G547" s="54" t="s">
        <v>205</v>
      </c>
      <c r="H547" s="54" t="s">
        <v>146</v>
      </c>
      <c r="J547" s="58" t="s">
        <v>1034</v>
      </c>
      <c r="K547" s="78" t="s">
        <v>1039</v>
      </c>
      <c r="L547" s="54" t="s">
        <v>174</v>
      </c>
      <c r="M547" s="54"/>
      <c r="N547" s="54"/>
      <c r="O547" s="54" t="s">
        <v>206</v>
      </c>
      <c r="P547" s="54"/>
      <c r="Q547" s="54"/>
      <c r="R547" s="54"/>
      <c r="S547" s="54"/>
      <c r="T547" s="54"/>
      <c r="U547" s="54"/>
      <c r="V547" s="54"/>
      <c r="W547" s="54"/>
      <c r="X547" s="54"/>
      <c r="Y547" s="72">
        <v>1664</v>
      </c>
    </row>
    <row r="548" spans="1:25">
      <c r="A548" s="53">
        <v>80</v>
      </c>
      <c r="B548" s="54" t="s">
        <v>141</v>
      </c>
      <c r="C548" s="173">
        <v>1991</v>
      </c>
      <c r="D548" s="90" t="s">
        <v>201</v>
      </c>
      <c r="E548" s="56" t="s">
        <v>204</v>
      </c>
      <c r="F548" s="54">
        <v>1987</v>
      </c>
      <c r="G548" s="54" t="s">
        <v>205</v>
      </c>
      <c r="H548" s="54" t="s">
        <v>146</v>
      </c>
      <c r="J548" s="58" t="s">
        <v>1034</v>
      </c>
      <c r="K548" s="78" t="s">
        <v>1039</v>
      </c>
      <c r="L548" s="54" t="s">
        <v>174</v>
      </c>
      <c r="M548" s="54"/>
      <c r="N548" s="54"/>
      <c r="O548" s="54" t="s">
        <v>150</v>
      </c>
      <c r="P548" s="54"/>
      <c r="Q548" s="54"/>
      <c r="R548" s="54"/>
      <c r="S548" s="54"/>
      <c r="T548" s="54"/>
      <c r="U548" s="54"/>
      <c r="V548" s="54"/>
      <c r="W548" s="54"/>
      <c r="X548" s="54"/>
      <c r="Y548" s="72">
        <v>1650</v>
      </c>
    </row>
    <row r="549" spans="1:25">
      <c r="A549" s="53">
        <v>80</v>
      </c>
      <c r="B549" s="54" t="s">
        <v>141</v>
      </c>
      <c r="C549" s="173">
        <v>1991</v>
      </c>
      <c r="D549" s="90" t="s">
        <v>201</v>
      </c>
      <c r="E549" s="56" t="s">
        <v>207</v>
      </c>
      <c r="F549" s="54">
        <v>1987</v>
      </c>
      <c r="G549" s="54" t="s">
        <v>210</v>
      </c>
      <c r="H549" s="54" t="s">
        <v>95</v>
      </c>
      <c r="I549" s="54" t="s">
        <v>1014</v>
      </c>
      <c r="J549" s="58" t="s">
        <v>1013</v>
      </c>
      <c r="K549" s="54" t="s">
        <v>1042</v>
      </c>
      <c r="L549" s="54" t="s">
        <v>154</v>
      </c>
      <c r="M549" s="54"/>
      <c r="N549" s="54"/>
      <c r="O549" s="54" t="s">
        <v>155</v>
      </c>
      <c r="P549" s="54"/>
      <c r="Q549" s="54"/>
      <c r="R549" s="54"/>
      <c r="S549" s="54"/>
      <c r="T549" s="54"/>
      <c r="U549" s="54"/>
      <c r="V549" s="54"/>
      <c r="W549" s="54"/>
      <c r="X549" s="54"/>
      <c r="Y549" s="72">
        <v>1637</v>
      </c>
    </row>
    <row r="550" spans="1:25">
      <c r="A550" s="53">
        <v>80</v>
      </c>
      <c r="B550" s="54" t="s">
        <v>141</v>
      </c>
      <c r="C550" s="173">
        <v>1991</v>
      </c>
      <c r="D550" s="90" t="s">
        <v>201</v>
      </c>
      <c r="E550" s="56" t="s">
        <v>204</v>
      </c>
      <c r="F550" s="54">
        <v>1989</v>
      </c>
      <c r="G550" s="54" t="s">
        <v>220</v>
      </c>
      <c r="H550" s="78" t="s">
        <v>986</v>
      </c>
      <c r="L550" s="54" t="s">
        <v>221</v>
      </c>
      <c r="M550" s="54"/>
      <c r="N550" s="54"/>
      <c r="O550" s="54" t="s">
        <v>222</v>
      </c>
      <c r="P550" s="54"/>
      <c r="Q550" s="54"/>
      <c r="R550" s="54"/>
      <c r="S550" s="54"/>
      <c r="T550" s="54"/>
      <c r="U550" s="54"/>
      <c r="V550" s="54"/>
      <c r="W550" s="54"/>
      <c r="X550" s="54"/>
      <c r="Y550" s="72">
        <v>1660</v>
      </c>
    </row>
    <row r="551" spans="1:25">
      <c r="A551" s="53">
        <v>80</v>
      </c>
      <c r="B551" s="54" t="s">
        <v>141</v>
      </c>
      <c r="C551" s="173">
        <v>1991</v>
      </c>
      <c r="D551" s="90" t="s">
        <v>201</v>
      </c>
      <c r="E551" s="56" t="s">
        <v>204</v>
      </c>
      <c r="F551" s="54">
        <v>1987</v>
      </c>
      <c r="G551" s="54" t="s">
        <v>181</v>
      </c>
      <c r="H551" s="78" t="s">
        <v>986</v>
      </c>
      <c r="J551" s="58" t="s">
        <v>1048</v>
      </c>
      <c r="K551" s="54" t="s">
        <v>1048</v>
      </c>
      <c r="L551" s="209" t="s">
        <v>212</v>
      </c>
      <c r="M551" s="54"/>
      <c r="N551" s="54"/>
      <c r="O551" s="209" t="s">
        <v>152</v>
      </c>
      <c r="P551" s="54"/>
      <c r="Q551" s="54"/>
      <c r="R551" s="54"/>
      <c r="S551" s="54"/>
      <c r="T551" s="54"/>
      <c r="U551" s="54"/>
      <c r="V551" s="54"/>
      <c r="W551" s="54"/>
      <c r="X551" s="54"/>
      <c r="Y551" s="72">
        <v>1664</v>
      </c>
    </row>
    <row r="552" spans="1:25">
      <c r="A552" s="53">
        <v>80</v>
      </c>
      <c r="B552" s="54" t="s">
        <v>141</v>
      </c>
      <c r="C552" s="173">
        <v>1991</v>
      </c>
      <c r="D552" s="90" t="s">
        <v>201</v>
      </c>
      <c r="E552" s="56" t="s">
        <v>204</v>
      </c>
      <c r="F552" s="54">
        <v>1988</v>
      </c>
      <c r="G552" s="54" t="s">
        <v>185</v>
      </c>
      <c r="H552" s="78" t="s">
        <v>986</v>
      </c>
      <c r="J552" s="58" t="s">
        <v>1022</v>
      </c>
      <c r="K552" s="54" t="s">
        <v>1041</v>
      </c>
      <c r="L552" s="54" t="s">
        <v>214</v>
      </c>
      <c r="M552" s="54"/>
      <c r="N552" s="54"/>
      <c r="O552" s="54" t="s">
        <v>186</v>
      </c>
      <c r="P552" s="54"/>
      <c r="Q552" s="54"/>
      <c r="R552" s="54"/>
      <c r="S552" s="54"/>
      <c r="T552" s="54"/>
      <c r="U552" s="54"/>
      <c r="V552" s="54"/>
      <c r="W552" s="54"/>
      <c r="X552" s="54"/>
      <c r="Y552" s="72">
        <v>1508</v>
      </c>
    </row>
    <row r="553" spans="1:25">
      <c r="A553" s="53">
        <v>80</v>
      </c>
      <c r="B553" s="54" t="s">
        <v>141</v>
      </c>
      <c r="C553" s="173">
        <v>1991</v>
      </c>
      <c r="D553" s="90" t="s">
        <v>201</v>
      </c>
      <c r="E553" s="56" t="s">
        <v>207</v>
      </c>
      <c r="F553" s="54">
        <v>1987</v>
      </c>
      <c r="G553" s="54" t="s">
        <v>208</v>
      </c>
      <c r="H553" s="54" t="s">
        <v>95</v>
      </c>
      <c r="I553" s="54" t="s">
        <v>1014</v>
      </c>
      <c r="J553" s="58" t="s">
        <v>1013</v>
      </c>
      <c r="K553" s="54" t="s">
        <v>1042</v>
      </c>
      <c r="L553" s="54" t="s">
        <v>209</v>
      </c>
      <c r="M553" s="54"/>
      <c r="N553" s="54"/>
      <c r="O553" s="54" t="s">
        <v>178</v>
      </c>
      <c r="P553" s="54"/>
      <c r="Q553" s="54"/>
      <c r="R553" s="54"/>
      <c r="S553" s="54"/>
      <c r="T553" s="54"/>
      <c r="U553" s="54"/>
      <c r="V553" s="54"/>
      <c r="W553" s="54"/>
      <c r="X553" s="54"/>
      <c r="Y553" s="72">
        <v>1626</v>
      </c>
    </row>
    <row r="554" spans="1:25">
      <c r="A554" s="53">
        <v>88</v>
      </c>
      <c r="B554" s="64" t="s">
        <v>241</v>
      </c>
      <c r="C554" s="96">
        <v>1992</v>
      </c>
      <c r="D554" s="64" t="s">
        <v>242</v>
      </c>
      <c r="E554" s="56" t="s">
        <v>204</v>
      </c>
      <c r="F554" s="54">
        <v>1989</v>
      </c>
      <c r="G554" s="54" t="s">
        <v>217</v>
      </c>
      <c r="H554" s="54" t="s">
        <v>249</v>
      </c>
      <c r="J554" s="58" t="s">
        <v>1049</v>
      </c>
      <c r="K554" s="54" t="s">
        <v>1049</v>
      </c>
      <c r="L554" s="208" t="s">
        <v>259</v>
      </c>
      <c r="M554" s="54"/>
      <c r="N554" s="54"/>
      <c r="O554" s="208" t="s">
        <v>260</v>
      </c>
      <c r="P554" s="54"/>
      <c r="Q554" s="54"/>
      <c r="R554" s="54"/>
      <c r="S554" s="54"/>
      <c r="T554" s="54"/>
      <c r="U554" s="54"/>
      <c r="V554" s="54"/>
      <c r="W554" s="54"/>
      <c r="X554" s="54"/>
      <c r="Y554" s="72">
        <v>1792</v>
      </c>
    </row>
    <row r="555" spans="1:25">
      <c r="A555" s="53">
        <v>88</v>
      </c>
      <c r="B555" s="64" t="s">
        <v>241</v>
      </c>
      <c r="C555" s="96">
        <v>1992</v>
      </c>
      <c r="D555" s="64" t="s">
        <v>242</v>
      </c>
      <c r="E555" s="56" t="s">
        <v>204</v>
      </c>
      <c r="F555" s="54">
        <v>1986</v>
      </c>
      <c r="G555" s="54" t="s">
        <v>213</v>
      </c>
      <c r="H555" s="54" t="s">
        <v>146</v>
      </c>
      <c r="J555" s="58" t="s">
        <v>1034</v>
      </c>
      <c r="K555" s="78" t="s">
        <v>1038</v>
      </c>
      <c r="L555" s="54" t="s">
        <v>245</v>
      </c>
      <c r="M555" s="54"/>
      <c r="N555" s="54"/>
      <c r="O555" s="54" t="s">
        <v>148</v>
      </c>
      <c r="P555" s="54"/>
      <c r="Q555" s="54"/>
      <c r="R555" s="54"/>
      <c r="S555" s="54"/>
      <c r="T555" s="54"/>
      <c r="U555" s="54"/>
      <c r="V555" s="54"/>
      <c r="W555" s="54"/>
      <c r="X555" s="54"/>
      <c r="Y555" s="72">
        <v>1737</v>
      </c>
    </row>
    <row r="556" spans="1:25">
      <c r="A556" s="53">
        <v>88</v>
      </c>
      <c r="B556" s="64" t="s">
        <v>241</v>
      </c>
      <c r="C556" s="96">
        <v>1992</v>
      </c>
      <c r="D556" s="64" t="s">
        <v>242</v>
      </c>
      <c r="E556" s="56" t="s">
        <v>207</v>
      </c>
      <c r="F556" s="54">
        <v>1990</v>
      </c>
      <c r="G556" s="54" t="s">
        <v>263</v>
      </c>
      <c r="H556" s="54" t="s">
        <v>264</v>
      </c>
      <c r="I556" s="54" t="s">
        <v>1014</v>
      </c>
      <c r="J556" s="58" t="s">
        <v>1022</v>
      </c>
      <c r="K556" s="54" t="s">
        <v>1047</v>
      </c>
      <c r="L556" s="54" t="s">
        <v>265</v>
      </c>
      <c r="M556" s="54"/>
      <c r="N556" s="54"/>
      <c r="O556" s="54" t="s">
        <v>266</v>
      </c>
      <c r="P556" s="54"/>
      <c r="Q556" s="54"/>
      <c r="R556" s="54"/>
      <c r="S556" s="54"/>
      <c r="T556" s="54"/>
      <c r="U556" s="54"/>
      <c r="V556" s="54"/>
      <c r="W556" s="54"/>
      <c r="X556" s="54"/>
      <c r="Y556" s="72">
        <v>1788</v>
      </c>
    </row>
    <row r="557" spans="1:25">
      <c r="A557" s="53">
        <v>88</v>
      </c>
      <c r="B557" s="64" t="s">
        <v>241</v>
      </c>
      <c r="C557" s="96">
        <v>1992</v>
      </c>
      <c r="D557" s="64" t="s">
        <v>242</v>
      </c>
      <c r="E557" s="56" t="s">
        <v>204</v>
      </c>
      <c r="F557" s="54">
        <v>1986</v>
      </c>
      <c r="G557" s="54" t="s">
        <v>205</v>
      </c>
      <c r="H557" s="54" t="s">
        <v>146</v>
      </c>
      <c r="J557" s="58" t="s">
        <v>1034</v>
      </c>
      <c r="K557" s="54" t="s">
        <v>1039</v>
      </c>
      <c r="L557" s="54" t="s">
        <v>246</v>
      </c>
      <c r="M557" s="54"/>
      <c r="N557" s="54"/>
      <c r="O557" s="54" t="s">
        <v>247</v>
      </c>
      <c r="P557" s="54"/>
      <c r="Q557" s="54"/>
      <c r="R557" s="54"/>
      <c r="S557" s="54"/>
      <c r="T557" s="54"/>
      <c r="U557" s="54"/>
      <c r="V557" s="54"/>
      <c r="W557" s="54"/>
      <c r="X557" s="54"/>
      <c r="Y557" s="72">
        <v>1667</v>
      </c>
    </row>
    <row r="558" spans="1:25">
      <c r="A558" s="53">
        <v>88</v>
      </c>
      <c r="B558" s="64" t="s">
        <v>241</v>
      </c>
      <c r="C558" s="96">
        <v>1992</v>
      </c>
      <c r="D558" s="64" t="s">
        <v>242</v>
      </c>
      <c r="E558" s="56" t="s">
        <v>204</v>
      </c>
      <c r="F558" s="54">
        <v>1987</v>
      </c>
      <c r="G558" s="54" t="s">
        <v>205</v>
      </c>
      <c r="H558" s="54" t="s">
        <v>146</v>
      </c>
      <c r="J558" s="58" t="s">
        <v>1034</v>
      </c>
      <c r="K558" s="54" t="s">
        <v>1039</v>
      </c>
      <c r="L558" s="54" t="s">
        <v>246</v>
      </c>
      <c r="M558" s="54"/>
      <c r="N558" s="54"/>
      <c r="O558" s="54" t="s">
        <v>248</v>
      </c>
      <c r="P558" s="54"/>
      <c r="Q558" s="54"/>
      <c r="R558" s="54"/>
      <c r="S558" s="54"/>
      <c r="T558" s="54"/>
      <c r="U558" s="54"/>
      <c r="V558" s="54"/>
      <c r="W558" s="54"/>
      <c r="X558" s="54"/>
      <c r="Y558" s="72">
        <v>1687</v>
      </c>
    </row>
    <row r="559" spans="1:25">
      <c r="A559" s="53">
        <v>88</v>
      </c>
      <c r="B559" s="64" t="s">
        <v>241</v>
      </c>
      <c r="C559" s="96">
        <v>1992</v>
      </c>
      <c r="D559" s="64" t="s">
        <v>242</v>
      </c>
      <c r="E559" s="56" t="s">
        <v>207</v>
      </c>
      <c r="F559" s="54">
        <v>1987</v>
      </c>
      <c r="G559" s="54" t="s">
        <v>210</v>
      </c>
      <c r="H559" s="54" t="s">
        <v>95</v>
      </c>
      <c r="I559" s="54" t="s">
        <v>1014</v>
      </c>
      <c r="J559" s="58" t="s">
        <v>1013</v>
      </c>
      <c r="K559" s="54" t="s">
        <v>1042</v>
      </c>
      <c r="L559" s="54" t="s">
        <v>1050</v>
      </c>
      <c r="M559" s="54"/>
      <c r="N559" s="54"/>
      <c r="O559" s="54" t="s">
        <v>155</v>
      </c>
      <c r="P559" s="54"/>
      <c r="Q559" s="54"/>
      <c r="R559" s="54"/>
      <c r="S559" s="54"/>
      <c r="T559" s="54"/>
      <c r="U559" s="54"/>
      <c r="V559" s="54"/>
      <c r="W559" s="54"/>
      <c r="X559" s="54"/>
      <c r="Y559" s="72">
        <v>1695</v>
      </c>
    </row>
    <row r="560" spans="1:25">
      <c r="A560" s="53">
        <v>88</v>
      </c>
      <c r="B560" s="64" t="s">
        <v>241</v>
      </c>
      <c r="C560" s="96">
        <v>1992</v>
      </c>
      <c r="D560" s="64" t="s">
        <v>242</v>
      </c>
      <c r="E560" s="56" t="s">
        <v>204</v>
      </c>
      <c r="F560" s="54">
        <v>1989</v>
      </c>
      <c r="G560" s="54" t="s">
        <v>220</v>
      </c>
      <c r="H560" s="54" t="s">
        <v>261</v>
      </c>
      <c r="I560" s="54"/>
      <c r="J560" s="54"/>
      <c r="K560" s="54"/>
      <c r="L560" s="54" t="s">
        <v>262</v>
      </c>
      <c r="M560" s="54"/>
      <c r="N560" s="54"/>
      <c r="O560" s="54" t="s">
        <v>222</v>
      </c>
      <c r="P560" s="54"/>
      <c r="Q560" s="54"/>
      <c r="R560" s="54"/>
      <c r="S560" s="54"/>
      <c r="T560" s="54"/>
      <c r="U560" s="54"/>
      <c r="V560" s="54"/>
      <c r="W560" s="54"/>
      <c r="X560" s="54"/>
      <c r="Y560" s="72">
        <v>1744</v>
      </c>
    </row>
    <row r="561" spans="1:25">
      <c r="A561" s="53">
        <v>88</v>
      </c>
      <c r="B561" s="64" t="s">
        <v>241</v>
      </c>
      <c r="C561" s="96">
        <v>1992</v>
      </c>
      <c r="D561" s="64" t="s">
        <v>242</v>
      </c>
      <c r="E561" s="56" t="s">
        <v>204</v>
      </c>
      <c r="F561" s="54">
        <v>1987</v>
      </c>
      <c r="G561" s="54" t="s">
        <v>181</v>
      </c>
      <c r="H561" s="54" t="s">
        <v>249</v>
      </c>
      <c r="J561" s="58" t="s">
        <v>1048</v>
      </c>
      <c r="K561" s="54" t="s">
        <v>1048</v>
      </c>
      <c r="L561" s="209" t="s">
        <v>250</v>
      </c>
      <c r="M561" s="54"/>
      <c r="N561" s="54"/>
      <c r="O561" s="209" t="s">
        <v>152</v>
      </c>
      <c r="P561" s="54"/>
      <c r="Q561" s="54"/>
      <c r="R561" s="54"/>
      <c r="S561" s="54"/>
      <c r="T561" s="54"/>
      <c r="U561" s="54"/>
      <c r="V561" s="54"/>
      <c r="W561" s="54"/>
      <c r="X561" s="54"/>
      <c r="Y561" s="72">
        <v>1794</v>
      </c>
    </row>
    <row r="562" spans="1:25">
      <c r="A562" s="53">
        <v>88</v>
      </c>
      <c r="B562" s="64" t="s">
        <v>241</v>
      </c>
      <c r="C562" s="96">
        <v>1992</v>
      </c>
      <c r="D562" s="64" t="s">
        <v>242</v>
      </c>
      <c r="E562" s="56" t="s">
        <v>204</v>
      </c>
      <c r="F562" s="54">
        <v>1988</v>
      </c>
      <c r="G562" s="54" t="s">
        <v>185</v>
      </c>
      <c r="H562" s="54" t="s">
        <v>249</v>
      </c>
      <c r="J562" s="58" t="s">
        <v>1022</v>
      </c>
      <c r="K562" s="54" t="s">
        <v>1041</v>
      </c>
      <c r="L562" s="54" t="s">
        <v>256</v>
      </c>
      <c r="M562" s="54"/>
      <c r="N562" s="54"/>
      <c r="O562" s="54" t="s">
        <v>186</v>
      </c>
      <c r="P562" s="54"/>
      <c r="Q562" s="54"/>
      <c r="R562" s="54"/>
      <c r="S562" s="54"/>
      <c r="T562" s="54"/>
      <c r="U562" s="54"/>
      <c r="V562" s="54"/>
      <c r="W562" s="54"/>
      <c r="X562" s="54"/>
      <c r="Y562" s="72">
        <v>1756</v>
      </c>
    </row>
    <row r="563" spans="1:25">
      <c r="A563" s="53">
        <v>88</v>
      </c>
      <c r="B563" s="64" t="s">
        <v>241</v>
      </c>
      <c r="C563" s="96">
        <v>1992</v>
      </c>
      <c r="D563" s="64" t="s">
        <v>242</v>
      </c>
      <c r="E563" s="56" t="s">
        <v>204</v>
      </c>
      <c r="F563" s="54">
        <v>1988</v>
      </c>
      <c r="G563" s="54" t="s">
        <v>185</v>
      </c>
      <c r="H563" s="54" t="s">
        <v>249</v>
      </c>
      <c r="J563" s="58" t="s">
        <v>1022</v>
      </c>
      <c r="K563" s="54" t="s">
        <v>1041</v>
      </c>
      <c r="L563" s="54" t="s">
        <v>256</v>
      </c>
      <c r="M563" s="54"/>
      <c r="N563" s="54"/>
      <c r="O563" s="54" t="s">
        <v>257</v>
      </c>
      <c r="P563" s="54"/>
      <c r="Q563" s="54"/>
      <c r="R563" s="54"/>
      <c r="S563" s="54"/>
      <c r="T563" s="54"/>
      <c r="U563" s="54"/>
      <c r="V563" s="54"/>
      <c r="W563" s="54"/>
      <c r="X563" s="54"/>
      <c r="Y563" s="72">
        <v>1668</v>
      </c>
    </row>
    <row r="564" spans="1:25">
      <c r="A564" s="53">
        <v>88</v>
      </c>
      <c r="B564" s="64" t="s">
        <v>241</v>
      </c>
      <c r="C564" s="96">
        <v>1992</v>
      </c>
      <c r="D564" s="64" t="s">
        <v>242</v>
      </c>
      <c r="E564" s="56" t="s">
        <v>204</v>
      </c>
      <c r="F564" s="54">
        <v>1989</v>
      </c>
      <c r="G564" s="54" t="s">
        <v>181</v>
      </c>
      <c r="H564" s="54" t="s">
        <v>249</v>
      </c>
      <c r="J564" s="58" t="s">
        <v>1049</v>
      </c>
      <c r="K564" s="54" t="s">
        <v>1049</v>
      </c>
      <c r="L564" s="98" t="s">
        <v>258</v>
      </c>
      <c r="M564" s="54"/>
      <c r="N564" s="54"/>
      <c r="O564" s="98" t="s">
        <v>216</v>
      </c>
      <c r="P564" s="54"/>
      <c r="Q564" s="54"/>
      <c r="R564" s="54"/>
      <c r="S564" s="54"/>
      <c r="T564" s="54"/>
      <c r="U564" s="54"/>
      <c r="V564" s="54"/>
      <c r="W564" s="54"/>
      <c r="X564" s="54"/>
      <c r="Y564" s="72">
        <v>1645</v>
      </c>
    </row>
    <row r="565" spans="1:25">
      <c r="A565" s="53">
        <v>88</v>
      </c>
      <c r="B565" s="64" t="s">
        <v>241</v>
      </c>
      <c r="C565" s="96">
        <v>1992</v>
      </c>
      <c r="D565" s="64" t="s">
        <v>242</v>
      </c>
      <c r="E565" s="56" t="s">
        <v>207</v>
      </c>
      <c r="F565" s="54">
        <v>1987</v>
      </c>
      <c r="G565" s="54" t="s">
        <v>208</v>
      </c>
      <c r="H565" s="54" t="s">
        <v>95</v>
      </c>
      <c r="I565" s="54" t="s">
        <v>1014</v>
      </c>
      <c r="J565" s="58" t="s">
        <v>1013</v>
      </c>
      <c r="K565" s="54" t="s">
        <v>1042</v>
      </c>
      <c r="L565" s="54" t="s">
        <v>251</v>
      </c>
      <c r="M565" s="54"/>
      <c r="N565" s="54"/>
      <c r="O565" s="54" t="s">
        <v>252</v>
      </c>
      <c r="P565" s="54"/>
      <c r="Q565" s="54"/>
      <c r="R565" s="54"/>
      <c r="S565" s="54"/>
      <c r="T565" s="54"/>
      <c r="U565" s="54"/>
      <c r="V565" s="54"/>
      <c r="W565" s="54"/>
      <c r="X565" s="54"/>
      <c r="Y565" s="72">
        <v>1714</v>
      </c>
    </row>
    <row r="566" spans="1:25">
      <c r="A566" s="53">
        <v>88</v>
      </c>
      <c r="B566" s="64" t="s">
        <v>241</v>
      </c>
      <c r="C566" s="96">
        <v>1992</v>
      </c>
      <c r="D566" s="64" t="s">
        <v>242</v>
      </c>
      <c r="E566" s="56" t="s">
        <v>204</v>
      </c>
      <c r="F566" s="54">
        <v>1987</v>
      </c>
      <c r="G566" s="54" t="s">
        <v>254</v>
      </c>
      <c r="H566" s="54" t="s">
        <v>159</v>
      </c>
      <c r="J566" s="58" t="s">
        <v>1013</v>
      </c>
      <c r="K566" s="54" t="s">
        <v>1042</v>
      </c>
      <c r="L566" s="54" t="s">
        <v>255</v>
      </c>
      <c r="M566" s="54"/>
      <c r="N566" s="54"/>
      <c r="O566" s="54" t="s">
        <v>160</v>
      </c>
      <c r="P566" s="54"/>
      <c r="Q566" s="54"/>
      <c r="R566" s="54"/>
      <c r="S566" s="54"/>
      <c r="T566" s="54"/>
      <c r="U566" s="54"/>
      <c r="V566" s="54"/>
      <c r="W566" s="54"/>
      <c r="X566" s="54"/>
      <c r="Y566" s="72">
        <v>1668</v>
      </c>
    </row>
    <row r="567" spans="1:25">
      <c r="A567" s="53">
        <v>139</v>
      </c>
      <c r="B567" s="65" t="s">
        <v>141</v>
      </c>
      <c r="C567" s="65">
        <v>1990</v>
      </c>
      <c r="D567" s="55" t="s">
        <v>500</v>
      </c>
      <c r="E567" s="56" t="s">
        <v>172</v>
      </c>
      <c r="F567" s="69">
        <v>32730</v>
      </c>
      <c r="G567" s="54" t="s">
        <v>181</v>
      </c>
      <c r="H567" s="54" t="s">
        <v>211</v>
      </c>
      <c r="I567" s="54"/>
      <c r="J567" s="54"/>
      <c r="K567" s="54"/>
      <c r="L567" s="54" t="s">
        <v>515</v>
      </c>
      <c r="M567" s="54"/>
      <c r="N567" s="54"/>
      <c r="O567" s="54" t="s">
        <v>516</v>
      </c>
      <c r="P567" s="54"/>
      <c r="Q567" s="54"/>
      <c r="R567" s="54"/>
      <c r="S567" s="54"/>
      <c r="T567" s="54"/>
      <c r="U567" s="54"/>
      <c r="V567" s="54"/>
      <c r="W567" s="54"/>
      <c r="X567" s="54"/>
      <c r="Y567" s="72">
        <v>1646</v>
      </c>
    </row>
    <row r="568" spans="1:25">
      <c r="A568" s="53">
        <v>139</v>
      </c>
      <c r="B568" s="65" t="s">
        <v>141</v>
      </c>
      <c r="C568" s="65">
        <v>1990</v>
      </c>
      <c r="D568" s="55" t="s">
        <v>500</v>
      </c>
      <c r="E568" s="56" t="s">
        <v>172</v>
      </c>
      <c r="F568" s="77">
        <v>32732</v>
      </c>
      <c r="G568" s="78" t="s">
        <v>217</v>
      </c>
      <c r="H568" s="54" t="s">
        <v>211</v>
      </c>
      <c r="I568" s="78"/>
      <c r="J568" s="78"/>
      <c r="K568" s="78"/>
      <c r="L568" s="79" t="s">
        <v>517</v>
      </c>
      <c r="M568" s="79"/>
      <c r="N568" s="79"/>
      <c r="O568" s="79" t="s">
        <v>518</v>
      </c>
      <c r="P568" s="79"/>
      <c r="Q568" s="79"/>
      <c r="R568" s="54"/>
      <c r="S568" s="54"/>
      <c r="T568" s="54"/>
      <c r="U568" s="94"/>
      <c r="V568" s="94"/>
      <c r="W568" s="94"/>
      <c r="X568" s="94"/>
      <c r="Y568" s="220">
        <v>1700</v>
      </c>
    </row>
    <row r="569" spans="1:25">
      <c r="A569" s="53">
        <v>139</v>
      </c>
      <c r="B569" s="65" t="s">
        <v>141</v>
      </c>
      <c r="C569" s="65">
        <v>1990</v>
      </c>
      <c r="D569" s="55" t="s">
        <v>500</v>
      </c>
      <c r="E569" s="56" t="s">
        <v>172</v>
      </c>
      <c r="F569" s="69">
        <v>32776</v>
      </c>
      <c r="G569" s="54" t="s">
        <v>220</v>
      </c>
      <c r="H569" s="54" t="s">
        <v>211</v>
      </c>
      <c r="I569" s="54"/>
      <c r="J569" s="54"/>
      <c r="K569" s="54"/>
      <c r="L569" s="54" t="s">
        <v>520</v>
      </c>
      <c r="M569" s="54"/>
      <c r="N569" s="54"/>
      <c r="O569" s="54" t="s">
        <v>521</v>
      </c>
      <c r="P569" s="54"/>
      <c r="Q569" s="54"/>
      <c r="R569" s="54"/>
      <c r="S569" s="54"/>
      <c r="T569" s="54"/>
      <c r="U569" s="54"/>
      <c r="V569" s="54"/>
      <c r="W569" s="54"/>
      <c r="X569" s="54"/>
      <c r="Y569" s="72">
        <v>1660</v>
      </c>
    </row>
    <row r="570" spans="1:25">
      <c r="A570" s="53">
        <v>139</v>
      </c>
      <c r="B570" s="65" t="s">
        <v>141</v>
      </c>
      <c r="C570" s="65">
        <v>1990</v>
      </c>
      <c r="D570" s="55" t="s">
        <v>500</v>
      </c>
      <c r="E570" s="56" t="s">
        <v>172</v>
      </c>
      <c r="F570" s="69">
        <v>32017</v>
      </c>
      <c r="G570" s="54" t="s">
        <v>181</v>
      </c>
      <c r="H570" s="54" t="s">
        <v>211</v>
      </c>
      <c r="I570" s="54"/>
      <c r="J570" s="54"/>
      <c r="K570" s="54"/>
      <c r="L570" s="54" t="s">
        <v>506</v>
      </c>
      <c r="M570" s="54"/>
      <c r="N570" s="54"/>
      <c r="O570" s="54" t="s">
        <v>507</v>
      </c>
      <c r="P570" s="54"/>
      <c r="Q570" s="54"/>
      <c r="R570" s="54"/>
      <c r="S570" s="54"/>
      <c r="T570" s="54"/>
      <c r="U570" s="54"/>
      <c r="V570" s="54"/>
      <c r="W570" s="54"/>
      <c r="X570" s="54"/>
      <c r="Y570" s="72">
        <v>1664</v>
      </c>
    </row>
    <row r="571" spans="1:25">
      <c r="A571" s="53">
        <v>139</v>
      </c>
      <c r="B571" s="65" t="s">
        <v>141</v>
      </c>
      <c r="C571" s="65">
        <v>1990</v>
      </c>
      <c r="D571" s="55" t="s">
        <v>500</v>
      </c>
      <c r="E571" s="56" t="s">
        <v>172</v>
      </c>
      <c r="F571" s="54" t="s">
        <v>511</v>
      </c>
      <c r="G571" s="54" t="s">
        <v>210</v>
      </c>
      <c r="H571" s="54" t="s">
        <v>95</v>
      </c>
      <c r="I571" s="54"/>
      <c r="J571" s="54"/>
      <c r="K571" s="54"/>
      <c r="L571" s="54" t="s">
        <v>512</v>
      </c>
      <c r="M571" s="54"/>
      <c r="N571" s="54"/>
      <c r="O571" s="54" t="s">
        <v>513</v>
      </c>
      <c r="P571" s="54"/>
      <c r="Q571" s="54"/>
      <c r="R571" s="54"/>
      <c r="S571" s="54"/>
      <c r="T571" s="54"/>
      <c r="U571" s="54"/>
      <c r="V571" s="54"/>
      <c r="W571" s="54"/>
      <c r="X571" s="54"/>
      <c r="Y571" s="72">
        <v>1637</v>
      </c>
    </row>
    <row r="572" spans="1:25">
      <c r="A572" s="53">
        <v>139</v>
      </c>
      <c r="B572" s="65" t="s">
        <v>141</v>
      </c>
      <c r="C572" s="65">
        <v>1990</v>
      </c>
      <c r="D572" s="55" t="s">
        <v>500</v>
      </c>
      <c r="E572" s="56" t="s">
        <v>172</v>
      </c>
      <c r="F572" s="69">
        <v>32367</v>
      </c>
      <c r="G572" s="54" t="s">
        <v>185</v>
      </c>
      <c r="H572" s="54" t="s">
        <v>211</v>
      </c>
      <c r="I572" s="54"/>
      <c r="J572" s="54"/>
      <c r="K572" s="54"/>
      <c r="L572" s="54" t="s">
        <v>184</v>
      </c>
      <c r="M572" s="54"/>
      <c r="N572" s="54"/>
      <c r="O572" s="54" t="s">
        <v>514</v>
      </c>
      <c r="P572" s="54"/>
      <c r="Q572" s="54"/>
      <c r="R572" s="54"/>
      <c r="S572" s="54"/>
      <c r="T572" s="54"/>
      <c r="U572" s="54"/>
      <c r="V572" s="54"/>
      <c r="W572" s="54"/>
      <c r="X572" s="54"/>
      <c r="Y572" s="72">
        <v>1508</v>
      </c>
    </row>
    <row r="573" spans="1:25">
      <c r="A573" s="53">
        <v>139</v>
      </c>
      <c r="B573" s="65" t="s">
        <v>141</v>
      </c>
      <c r="C573" s="65">
        <v>1990</v>
      </c>
      <c r="D573" s="55" t="s">
        <v>500</v>
      </c>
      <c r="E573" s="56" t="s">
        <v>172</v>
      </c>
      <c r="F573" s="69">
        <v>31749</v>
      </c>
      <c r="G573" s="54" t="s">
        <v>213</v>
      </c>
      <c r="H573" s="54" t="s">
        <v>146</v>
      </c>
      <c r="I573" s="54"/>
      <c r="J573" s="54"/>
      <c r="K573" s="54"/>
      <c r="L573" s="54" t="s">
        <v>147</v>
      </c>
      <c r="M573" s="54"/>
      <c r="N573" s="54"/>
      <c r="O573" s="54" t="s">
        <v>502</v>
      </c>
      <c r="P573" s="54"/>
      <c r="Q573" s="54"/>
      <c r="R573" s="54"/>
      <c r="S573" s="54"/>
      <c r="T573" s="54"/>
      <c r="U573" s="54"/>
      <c r="V573" s="54"/>
      <c r="W573" s="54"/>
      <c r="X573" s="54"/>
      <c r="Y573" s="72">
        <v>1748</v>
      </c>
    </row>
    <row r="574" spans="1:25">
      <c r="A574" s="53">
        <v>139</v>
      </c>
      <c r="B574" s="65" t="s">
        <v>141</v>
      </c>
      <c r="C574" s="65">
        <v>1990</v>
      </c>
      <c r="D574" s="55" t="s">
        <v>500</v>
      </c>
      <c r="E574" s="56" t="s">
        <v>172</v>
      </c>
      <c r="F574" s="69">
        <v>31758</v>
      </c>
      <c r="G574" s="54" t="s">
        <v>503</v>
      </c>
      <c r="H574" s="54" t="s">
        <v>146</v>
      </c>
      <c r="I574" s="54"/>
      <c r="J574" s="54"/>
      <c r="K574" s="54"/>
      <c r="L574" s="54" t="s">
        <v>149</v>
      </c>
      <c r="M574" s="54"/>
      <c r="N574" s="54"/>
      <c r="O574" s="54" t="s">
        <v>504</v>
      </c>
      <c r="P574" s="54"/>
      <c r="Q574" s="54"/>
      <c r="R574" s="54"/>
      <c r="S574" s="54"/>
      <c r="T574" s="54"/>
      <c r="U574" s="54"/>
      <c r="V574" s="54"/>
      <c r="W574" s="54"/>
      <c r="X574" s="54"/>
      <c r="Y574" s="72">
        <v>1664</v>
      </c>
    </row>
    <row r="575" spans="1:25">
      <c r="A575" s="53">
        <v>139</v>
      </c>
      <c r="B575" s="65" t="s">
        <v>141</v>
      </c>
      <c r="C575" s="65">
        <v>1990</v>
      </c>
      <c r="D575" s="55" t="s">
        <v>500</v>
      </c>
      <c r="E575" s="56" t="s">
        <v>172</v>
      </c>
      <c r="F575" s="77">
        <v>31950</v>
      </c>
      <c r="G575" s="78" t="s">
        <v>503</v>
      </c>
      <c r="H575" s="78" t="s">
        <v>146</v>
      </c>
      <c r="I575" s="78"/>
      <c r="J575" s="78"/>
      <c r="K575" s="78"/>
      <c r="L575" s="79" t="s">
        <v>149</v>
      </c>
      <c r="M575" s="79"/>
      <c r="N575" s="79"/>
      <c r="O575" s="79" t="s">
        <v>505</v>
      </c>
      <c r="P575" s="79"/>
      <c r="Q575" s="79"/>
      <c r="R575" s="54"/>
      <c r="S575" s="54"/>
      <c r="T575" s="54"/>
      <c r="U575" s="94"/>
      <c r="V575" s="94"/>
      <c r="W575" s="94"/>
      <c r="X575" s="94"/>
      <c r="Y575" s="220">
        <v>1650</v>
      </c>
    </row>
    <row r="576" spans="1:25">
      <c r="A576" s="53">
        <v>139</v>
      </c>
      <c r="B576" s="65" t="s">
        <v>141</v>
      </c>
      <c r="C576" s="65">
        <v>1990</v>
      </c>
      <c r="D576" s="55" t="s">
        <v>500</v>
      </c>
      <c r="E576" s="56" t="s">
        <v>172</v>
      </c>
      <c r="F576" s="69">
        <v>32022</v>
      </c>
      <c r="G576" s="54" t="s">
        <v>508</v>
      </c>
      <c r="H576" s="54" t="s">
        <v>95</v>
      </c>
      <c r="I576" s="54"/>
      <c r="J576" s="54"/>
      <c r="K576" s="54"/>
      <c r="L576" s="54" t="s">
        <v>509</v>
      </c>
      <c r="M576" s="54"/>
      <c r="N576" s="54"/>
      <c r="O576" s="54" t="s">
        <v>510</v>
      </c>
      <c r="P576" s="54"/>
      <c r="Q576" s="54"/>
      <c r="R576" s="54"/>
      <c r="S576" s="54"/>
      <c r="T576" s="54"/>
      <c r="U576" s="54"/>
      <c r="V576" s="54"/>
      <c r="W576" s="54"/>
      <c r="X576" s="54"/>
      <c r="Y576" s="72">
        <v>1626</v>
      </c>
    </row>
    <row r="577" spans="1:38">
      <c r="A577" s="54" t="s">
        <v>1225</v>
      </c>
      <c r="B577" s="65"/>
      <c r="C577" s="65"/>
      <c r="D577" s="55"/>
      <c r="E577" s="56"/>
      <c r="F577" s="69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72"/>
    </row>
    <row r="578" spans="1:38" s="45" customFormat="1">
      <c r="A578" s="53">
        <v>63</v>
      </c>
      <c r="B578" s="60" t="s">
        <v>168</v>
      </c>
      <c r="C578" s="60">
        <v>1989</v>
      </c>
      <c r="D578" s="60" t="s">
        <v>169</v>
      </c>
      <c r="E578" s="90" t="s">
        <v>172</v>
      </c>
      <c r="F578" s="77">
        <v>32017</v>
      </c>
      <c r="G578" s="54" t="s">
        <v>181</v>
      </c>
      <c r="H578" s="78" t="s">
        <v>986</v>
      </c>
      <c r="I578" s="78"/>
      <c r="J578" s="66" t="s">
        <v>1034</v>
      </c>
      <c r="K578" s="78" t="s">
        <v>1040</v>
      </c>
      <c r="L578" s="79" t="s">
        <v>182</v>
      </c>
      <c r="M578" s="79"/>
      <c r="N578" s="79"/>
      <c r="O578" s="79" t="s">
        <v>152</v>
      </c>
      <c r="P578" s="79"/>
      <c r="Q578" s="79"/>
      <c r="R578" s="54"/>
      <c r="S578" s="54"/>
      <c r="T578" s="54"/>
      <c r="U578" s="79"/>
      <c r="V578" s="79"/>
      <c r="W578" s="79"/>
      <c r="X578" s="66" t="str">
        <f>IF(R578&lt;&gt;0,IF(R578&gt;1,R578/100,R578),IF(U578&lt;&gt;0,IF(U578&gt;1,U578/100,U578),""))</f>
        <v/>
      </c>
      <c r="Y578" s="220">
        <v>1664</v>
      </c>
      <c r="Z578" s="192" t="str">
        <f>IF(X578&lt;&gt;"",IF(X578&lt;0.9,"S","F"),"")</f>
        <v/>
      </c>
      <c r="AA578" s="172"/>
      <c r="AB578" s="172"/>
      <c r="AC578" s="172"/>
      <c r="AD578" s="172"/>
      <c r="AE578" s="172"/>
      <c r="AF578" s="172"/>
      <c r="AG578" s="172"/>
      <c r="AH578" s="172"/>
      <c r="AI578" s="172"/>
      <c r="AJ578" s="172"/>
      <c r="AK578" s="172"/>
      <c r="AL578" s="172"/>
    </row>
    <row r="579" spans="1:38">
      <c r="A579" s="160" t="s">
        <v>1024</v>
      </c>
    </row>
    <row r="580" spans="1:38">
      <c r="A580" s="53">
        <v>91</v>
      </c>
      <c r="B580" s="60" t="s">
        <v>45</v>
      </c>
      <c r="C580" s="54">
        <v>1992</v>
      </c>
      <c r="D580" s="83" t="s">
        <v>267</v>
      </c>
      <c r="E580" s="56" t="s">
        <v>270</v>
      </c>
      <c r="F580" s="54">
        <v>1992</v>
      </c>
      <c r="G580" s="54"/>
      <c r="H580" s="54"/>
      <c r="I580" s="54"/>
      <c r="J580" s="54"/>
      <c r="K580" s="54"/>
      <c r="L580" s="54"/>
      <c r="M580" s="54"/>
      <c r="N580" s="54"/>
      <c r="O580" s="54" t="s">
        <v>274</v>
      </c>
      <c r="P580" s="54"/>
      <c r="Q580" s="54"/>
      <c r="R580" s="54"/>
      <c r="S580" s="54"/>
      <c r="T580" s="54"/>
      <c r="U580" s="54">
        <v>0.9</v>
      </c>
      <c r="V580" s="54"/>
      <c r="W580" s="54"/>
      <c r="X580" s="54"/>
      <c r="Y580" s="72">
        <v>1651</v>
      </c>
    </row>
    <row r="581" spans="1:38">
      <c r="A581" s="53">
        <v>91</v>
      </c>
      <c r="B581" s="60" t="s">
        <v>45</v>
      </c>
      <c r="C581" s="54">
        <v>1992</v>
      </c>
      <c r="D581" s="83" t="s">
        <v>267</v>
      </c>
      <c r="E581" s="56" t="s">
        <v>270</v>
      </c>
      <c r="F581" s="54">
        <v>1992</v>
      </c>
      <c r="G581" s="54"/>
      <c r="H581" s="54"/>
      <c r="I581" s="54"/>
      <c r="J581" s="54"/>
      <c r="K581" s="54"/>
      <c r="L581" s="54"/>
      <c r="M581" s="54"/>
      <c r="N581" s="54"/>
      <c r="O581" s="54" t="s">
        <v>271</v>
      </c>
      <c r="P581" s="54"/>
      <c r="Q581" s="54"/>
      <c r="R581" s="54"/>
      <c r="S581" s="54"/>
      <c r="T581" s="54"/>
      <c r="U581" s="54">
        <v>0.8</v>
      </c>
      <c r="V581" s="54"/>
      <c r="W581" s="54"/>
      <c r="X581" s="54"/>
      <c r="Y581" s="72">
        <v>1467</v>
      </c>
    </row>
    <row r="582" spans="1:38">
      <c r="A582" s="53">
        <v>91</v>
      </c>
      <c r="B582" s="60" t="s">
        <v>45</v>
      </c>
      <c r="C582" s="54">
        <v>1992</v>
      </c>
      <c r="D582" s="83" t="s">
        <v>267</v>
      </c>
      <c r="E582" s="56" t="s">
        <v>270</v>
      </c>
      <c r="F582" s="54">
        <v>1992</v>
      </c>
      <c r="G582" s="54"/>
      <c r="H582" s="54"/>
      <c r="I582" s="54"/>
      <c r="J582" s="54"/>
      <c r="K582" s="54"/>
      <c r="L582" s="54"/>
      <c r="M582" s="54"/>
      <c r="N582" s="54"/>
      <c r="O582" s="54" t="s">
        <v>272</v>
      </c>
      <c r="P582" s="54"/>
      <c r="Q582" s="54"/>
      <c r="R582" s="54"/>
      <c r="S582" s="54"/>
      <c r="T582" s="54"/>
      <c r="U582" s="54">
        <v>0.84</v>
      </c>
      <c r="V582" s="54"/>
      <c r="W582" s="54"/>
      <c r="X582" s="54"/>
      <c r="Y582" s="72">
        <v>1541</v>
      </c>
    </row>
    <row r="583" spans="1:38">
      <c r="A583" s="53">
        <v>91</v>
      </c>
      <c r="B583" s="60" t="s">
        <v>45</v>
      </c>
      <c r="C583" s="54">
        <v>1992</v>
      </c>
      <c r="D583" s="83" t="s">
        <v>267</v>
      </c>
      <c r="E583" s="56" t="s">
        <v>270</v>
      </c>
      <c r="F583" s="54">
        <v>1992</v>
      </c>
      <c r="G583" s="54"/>
      <c r="H583" s="54"/>
      <c r="I583" s="54"/>
      <c r="J583" s="54"/>
      <c r="K583" s="54"/>
      <c r="L583" s="54"/>
      <c r="M583" s="54"/>
      <c r="N583" s="54"/>
      <c r="O583" s="54" t="s">
        <v>273</v>
      </c>
      <c r="P583" s="54"/>
      <c r="Q583" s="54"/>
      <c r="R583" s="54"/>
      <c r="S583" s="54"/>
      <c r="T583" s="54"/>
      <c r="U583" s="54">
        <v>0.86</v>
      </c>
      <c r="V583" s="54"/>
      <c r="W583" s="54"/>
      <c r="X583" s="54"/>
      <c r="Y583" s="72">
        <v>1577</v>
      </c>
    </row>
    <row r="584" spans="1:38">
      <c r="A584" s="53">
        <v>91</v>
      </c>
      <c r="B584" s="60" t="s">
        <v>45</v>
      </c>
      <c r="C584" s="54">
        <v>1992</v>
      </c>
      <c r="D584" s="83" t="s">
        <v>267</v>
      </c>
      <c r="E584" s="56" t="s">
        <v>270</v>
      </c>
      <c r="F584" s="54">
        <v>1992</v>
      </c>
      <c r="G584" s="54"/>
      <c r="H584" s="54"/>
      <c r="I584" s="54"/>
      <c r="J584" s="54"/>
      <c r="K584" s="54"/>
      <c r="L584" s="54"/>
      <c r="M584" s="54"/>
      <c r="N584" s="54"/>
      <c r="O584" s="54" t="s">
        <v>275</v>
      </c>
      <c r="P584" s="54"/>
      <c r="Q584" s="54"/>
      <c r="R584" s="54"/>
      <c r="S584" s="54"/>
      <c r="T584" s="54"/>
      <c r="U584" s="54">
        <v>0.94</v>
      </c>
      <c r="V584" s="54"/>
      <c r="W584" s="54"/>
      <c r="X584" s="54"/>
      <c r="Y584" s="72">
        <v>1724</v>
      </c>
    </row>
    <row r="586" spans="1:38">
      <c r="A586" s="160" t="s">
        <v>1132</v>
      </c>
    </row>
    <row r="587" spans="1:38" s="45" customFormat="1">
      <c r="A587" s="53">
        <v>112</v>
      </c>
      <c r="B587" s="60" t="s">
        <v>322</v>
      </c>
      <c r="C587" s="60">
        <v>1996</v>
      </c>
      <c r="D587" s="60" t="s">
        <v>323</v>
      </c>
      <c r="E587" s="56" t="s">
        <v>20</v>
      </c>
      <c r="F587" s="54">
        <v>1996</v>
      </c>
      <c r="G587" s="54" t="s">
        <v>326</v>
      </c>
      <c r="H587" s="54" t="s">
        <v>159</v>
      </c>
      <c r="I587" s="54"/>
      <c r="J587" s="54" t="s">
        <v>1051</v>
      </c>
      <c r="K587" s="54" t="s">
        <v>1052</v>
      </c>
      <c r="L587" s="54" t="s">
        <v>346</v>
      </c>
      <c r="M587" s="54" t="s">
        <v>327</v>
      </c>
      <c r="N587" s="54"/>
      <c r="O587" s="54" t="s">
        <v>347</v>
      </c>
      <c r="P587" s="54"/>
      <c r="Q587" s="54"/>
      <c r="R587" s="54"/>
      <c r="S587" s="54">
        <v>0.98899999999999999</v>
      </c>
      <c r="T587" s="54">
        <v>0.874</v>
      </c>
      <c r="U587" s="54">
        <v>0.96099999999999997</v>
      </c>
      <c r="V587" s="54" t="s">
        <v>348</v>
      </c>
      <c r="W587" s="54" t="s">
        <v>349</v>
      </c>
      <c r="X587" s="54"/>
      <c r="Y587" s="72" t="s">
        <v>350</v>
      </c>
      <c r="Z587" s="172"/>
      <c r="AA587" s="172"/>
      <c r="AB587" s="172"/>
      <c r="AC587" s="172"/>
      <c r="AD587" s="172"/>
      <c r="AE587" s="172"/>
      <c r="AF587" s="172"/>
      <c r="AG587" s="172"/>
      <c r="AH587" s="172"/>
      <c r="AI587" s="172"/>
      <c r="AJ587" s="172"/>
      <c r="AK587" s="172"/>
      <c r="AL587" s="172"/>
    </row>
    <row r="588" spans="1:38" s="45" customFormat="1">
      <c r="A588" s="53">
        <v>112</v>
      </c>
      <c r="B588" s="60" t="s">
        <v>322</v>
      </c>
      <c r="C588" s="60">
        <v>1996</v>
      </c>
      <c r="D588" s="60" t="s">
        <v>323</v>
      </c>
      <c r="E588" s="56" t="s">
        <v>20</v>
      </c>
      <c r="F588" s="54">
        <v>1996</v>
      </c>
      <c r="G588" s="54" t="s">
        <v>326</v>
      </c>
      <c r="H588" s="54" t="s">
        <v>159</v>
      </c>
      <c r="I588" s="54"/>
      <c r="J588" s="66" t="s">
        <v>1051</v>
      </c>
      <c r="K588" s="54" t="s">
        <v>1052</v>
      </c>
      <c r="L588" s="54" t="s">
        <v>380</v>
      </c>
      <c r="M588" s="54" t="s">
        <v>381</v>
      </c>
      <c r="N588" s="54"/>
      <c r="O588" s="54" t="s">
        <v>382</v>
      </c>
      <c r="P588" s="54"/>
      <c r="Q588" s="54"/>
      <c r="R588" s="54"/>
      <c r="S588" s="54"/>
      <c r="T588" s="54"/>
      <c r="U588" s="54">
        <v>0.94199999999999995</v>
      </c>
      <c r="V588" s="54"/>
      <c r="W588" s="54"/>
      <c r="X588" s="54"/>
      <c r="Y588" s="72" t="s">
        <v>383</v>
      </c>
      <c r="Z588" s="172"/>
      <c r="AA588" s="172"/>
      <c r="AB588" s="172"/>
      <c r="AC588" s="172"/>
      <c r="AD588" s="172"/>
      <c r="AE588" s="172"/>
      <c r="AF588" s="172"/>
      <c r="AG588" s="172"/>
      <c r="AH588" s="172"/>
      <c r="AI588" s="172"/>
      <c r="AJ588" s="172"/>
      <c r="AK588" s="172"/>
      <c r="AL588" s="172"/>
    </row>
    <row r="589" spans="1:38" s="45" customFormat="1">
      <c r="A589" s="53">
        <v>112</v>
      </c>
      <c r="B589" s="60" t="s">
        <v>322</v>
      </c>
      <c r="C589" s="60">
        <v>1996</v>
      </c>
      <c r="D589" s="60" t="s">
        <v>323</v>
      </c>
      <c r="E589" s="56" t="s">
        <v>20</v>
      </c>
      <c r="F589" s="54">
        <v>1996</v>
      </c>
      <c r="G589" s="54" t="s">
        <v>326</v>
      </c>
      <c r="H589" s="54" t="s">
        <v>159</v>
      </c>
      <c r="I589" s="54"/>
      <c r="J589" s="54" t="s">
        <v>1013</v>
      </c>
      <c r="K589" s="54" t="s">
        <v>1056</v>
      </c>
      <c r="L589" s="54" t="s">
        <v>140</v>
      </c>
      <c r="M589" s="54" t="s">
        <v>327</v>
      </c>
      <c r="N589" s="54"/>
      <c r="O589" s="54" t="s">
        <v>328</v>
      </c>
      <c r="P589" s="54"/>
      <c r="Q589" s="54"/>
      <c r="R589" s="54"/>
      <c r="S589" s="54">
        <v>0.99</v>
      </c>
      <c r="T589" s="54">
        <v>0.83499999999999996</v>
      </c>
      <c r="U589" s="54">
        <v>0.95599999999999996</v>
      </c>
      <c r="V589" s="54" t="s">
        <v>329</v>
      </c>
      <c r="W589" s="54" t="s">
        <v>330</v>
      </c>
      <c r="X589" s="54"/>
      <c r="Y589" s="72" t="s">
        <v>331</v>
      </c>
      <c r="Z589" s="172"/>
      <c r="AA589" s="172"/>
      <c r="AB589" s="172"/>
      <c r="AC589" s="172"/>
      <c r="AD589" s="172"/>
      <c r="AE589" s="172"/>
      <c r="AF589" s="172"/>
      <c r="AG589" s="172"/>
      <c r="AH589" s="172"/>
      <c r="AI589" s="172"/>
      <c r="AJ589" s="172"/>
      <c r="AK589" s="172"/>
      <c r="AL589" s="172"/>
    </row>
    <row r="590" spans="1:38" s="45" customFormat="1">
      <c r="A590" s="53">
        <v>112</v>
      </c>
      <c r="B590" s="60" t="s">
        <v>322</v>
      </c>
      <c r="C590" s="60">
        <v>1996</v>
      </c>
      <c r="D590" s="60" t="s">
        <v>323</v>
      </c>
      <c r="E590" s="56" t="s">
        <v>20</v>
      </c>
      <c r="F590" s="54">
        <v>1996</v>
      </c>
      <c r="G590" s="54" t="s">
        <v>326</v>
      </c>
      <c r="H590" s="54" t="s">
        <v>159</v>
      </c>
      <c r="I590" s="54"/>
      <c r="J590" s="54" t="s">
        <v>1013</v>
      </c>
      <c r="K590" s="54" t="s">
        <v>1056</v>
      </c>
      <c r="L590" s="54" t="s">
        <v>140</v>
      </c>
      <c r="M590" s="54" t="s">
        <v>327</v>
      </c>
      <c r="N590" s="54"/>
      <c r="O590" s="54" t="s">
        <v>337</v>
      </c>
      <c r="P590" s="54"/>
      <c r="Q590" s="54"/>
      <c r="R590" s="54"/>
      <c r="S590" s="54">
        <v>0.99</v>
      </c>
      <c r="T590" s="54">
        <v>0.82299999999999995</v>
      </c>
      <c r="U590" s="54">
        <v>0.96</v>
      </c>
      <c r="V590" s="54" t="s">
        <v>338</v>
      </c>
      <c r="W590" s="54" t="s">
        <v>339</v>
      </c>
      <c r="X590" s="54"/>
      <c r="Y590" s="72" t="s">
        <v>340</v>
      </c>
      <c r="Z590" s="172"/>
      <c r="AA590" s="172"/>
      <c r="AB590" s="172"/>
      <c r="AC590" s="172"/>
      <c r="AD590" s="172"/>
      <c r="AE590" s="172"/>
      <c r="AF590" s="172"/>
      <c r="AG590" s="172"/>
      <c r="AH590" s="172"/>
      <c r="AI590" s="172"/>
      <c r="AJ590" s="172"/>
      <c r="AK590" s="172"/>
      <c r="AL590" s="172"/>
    </row>
    <row r="591" spans="1:38" s="45" customFormat="1">
      <c r="A591" s="53">
        <v>112</v>
      </c>
      <c r="B591" s="60" t="s">
        <v>322</v>
      </c>
      <c r="C591" s="60">
        <v>1996</v>
      </c>
      <c r="D591" s="60" t="s">
        <v>323</v>
      </c>
      <c r="E591" s="56" t="s">
        <v>20</v>
      </c>
      <c r="F591" s="54">
        <v>1996</v>
      </c>
      <c r="G591" s="54" t="s">
        <v>326</v>
      </c>
      <c r="H591" s="54" t="s">
        <v>159</v>
      </c>
      <c r="I591" s="54"/>
      <c r="J591" s="66" t="s">
        <v>1051</v>
      </c>
      <c r="K591" s="54" t="s">
        <v>1052</v>
      </c>
      <c r="L591" s="54" t="s">
        <v>376</v>
      </c>
      <c r="M591" s="54" t="s">
        <v>327</v>
      </c>
      <c r="N591" s="54"/>
      <c r="O591" s="54" t="s">
        <v>377</v>
      </c>
      <c r="P591" s="54"/>
      <c r="Q591" s="54"/>
      <c r="R591" s="54"/>
      <c r="S591" s="54"/>
      <c r="T591" s="54"/>
      <c r="U591" s="54">
        <v>0.88900000000000001</v>
      </c>
      <c r="V591" s="54"/>
      <c r="W591" s="54"/>
      <c r="X591" s="54"/>
      <c r="Y591" s="72" t="s">
        <v>378</v>
      </c>
      <c r="Z591" s="172"/>
      <c r="AA591" s="172"/>
      <c r="AB591" s="172"/>
      <c r="AC591" s="172"/>
      <c r="AD591" s="172"/>
      <c r="AE591" s="172"/>
      <c r="AF591" s="172"/>
      <c r="AG591" s="172"/>
      <c r="AH591" s="172"/>
      <c r="AI591" s="172"/>
      <c r="AJ591" s="172"/>
      <c r="AK591" s="172"/>
      <c r="AL591" s="172"/>
    </row>
    <row r="592" spans="1:38" s="45" customFormat="1">
      <c r="A592" s="53">
        <v>112</v>
      </c>
      <c r="B592" s="60" t="s">
        <v>322</v>
      </c>
      <c r="C592" s="60">
        <v>1996</v>
      </c>
      <c r="D592" s="60" t="s">
        <v>323</v>
      </c>
      <c r="E592" s="56" t="s">
        <v>20</v>
      </c>
      <c r="F592" s="54">
        <v>1996</v>
      </c>
      <c r="G592" s="54" t="s">
        <v>326</v>
      </c>
      <c r="H592" s="54" t="s">
        <v>159</v>
      </c>
      <c r="I592" s="54"/>
      <c r="J592" s="54"/>
      <c r="K592" s="54"/>
      <c r="L592" s="54" t="s">
        <v>366</v>
      </c>
      <c r="M592" s="54" t="s">
        <v>367</v>
      </c>
      <c r="N592" s="54"/>
      <c r="O592" s="54" t="s">
        <v>390</v>
      </c>
      <c r="P592" s="54"/>
      <c r="Q592" s="54"/>
      <c r="R592" s="54"/>
      <c r="S592" s="54">
        <v>0.98199999999999998</v>
      </c>
      <c r="T592" s="54">
        <v>0.86199999999999999</v>
      </c>
      <c r="U592" s="54">
        <v>0.96899999999999997</v>
      </c>
      <c r="V592" s="54" t="s">
        <v>391</v>
      </c>
      <c r="W592" s="54" t="s">
        <v>392</v>
      </c>
      <c r="X592" s="54"/>
      <c r="Y592" s="72" t="s">
        <v>393</v>
      </c>
      <c r="Z592" s="172"/>
      <c r="AA592" s="172"/>
      <c r="AB592" s="172"/>
      <c r="AC592" s="172"/>
      <c r="AD592" s="172"/>
      <c r="AE592" s="172"/>
      <c r="AF592" s="172"/>
      <c r="AG592" s="172"/>
      <c r="AH592" s="172"/>
      <c r="AI592" s="172"/>
      <c r="AJ592" s="172"/>
      <c r="AK592" s="172"/>
      <c r="AL592" s="172"/>
    </row>
    <row r="593" spans="1:38" s="45" customFormat="1">
      <c r="A593" s="53">
        <v>112</v>
      </c>
      <c r="B593" s="60" t="s">
        <v>322</v>
      </c>
      <c r="C593" s="60">
        <v>1996</v>
      </c>
      <c r="D593" s="60" t="s">
        <v>323</v>
      </c>
      <c r="E593" s="56" t="s">
        <v>20</v>
      </c>
      <c r="F593" s="54">
        <v>1996</v>
      </c>
      <c r="G593" s="54" t="s">
        <v>326</v>
      </c>
      <c r="H593" s="54" t="s">
        <v>159</v>
      </c>
      <c r="I593" s="54"/>
      <c r="J593" s="54"/>
      <c r="K593" s="54"/>
      <c r="L593" s="54" t="s">
        <v>366</v>
      </c>
      <c r="M593" s="54" t="s">
        <v>367</v>
      </c>
      <c r="N593" s="54"/>
      <c r="O593" s="54" t="s">
        <v>368</v>
      </c>
      <c r="P593" s="54"/>
      <c r="Q593" s="54"/>
      <c r="R593" s="54"/>
      <c r="S593" s="54">
        <v>0.97799999999999998</v>
      </c>
      <c r="T593" s="54">
        <v>0.879</v>
      </c>
      <c r="U593" s="54">
        <v>0.96</v>
      </c>
      <c r="V593" s="54" t="s">
        <v>369</v>
      </c>
      <c r="W593" s="54" t="s">
        <v>370</v>
      </c>
      <c r="X593" s="54"/>
      <c r="Y593" s="72" t="s">
        <v>371</v>
      </c>
      <c r="Z593" s="172"/>
      <c r="AA593" s="172"/>
      <c r="AB593" s="172"/>
      <c r="AC593" s="172"/>
      <c r="AD593" s="172"/>
      <c r="AE593" s="172"/>
      <c r="AF593" s="172"/>
      <c r="AG593" s="172"/>
      <c r="AH593" s="172"/>
      <c r="AI593" s="172"/>
      <c r="AJ593" s="172"/>
      <c r="AK593" s="172"/>
      <c r="AL593" s="172"/>
    </row>
    <row r="594" spans="1:38" s="45" customFormat="1">
      <c r="A594" s="53">
        <v>112</v>
      </c>
      <c r="B594" s="60" t="s">
        <v>322</v>
      </c>
      <c r="C594" s="60">
        <v>1996</v>
      </c>
      <c r="D594" s="60" t="s">
        <v>323</v>
      </c>
      <c r="E594" s="56" t="s">
        <v>20</v>
      </c>
      <c r="F594" s="54">
        <v>1996</v>
      </c>
      <c r="G594" s="54" t="s">
        <v>326</v>
      </c>
      <c r="H594" s="54" t="s">
        <v>159</v>
      </c>
      <c r="I594" s="54"/>
      <c r="J594" s="54"/>
      <c r="K594" s="54"/>
      <c r="L594" s="54" t="s">
        <v>356</v>
      </c>
      <c r="M594" s="54" t="s">
        <v>327</v>
      </c>
      <c r="N594" s="54"/>
      <c r="O594" s="54" t="s">
        <v>357</v>
      </c>
      <c r="P594" s="54"/>
      <c r="Q594" s="54"/>
      <c r="R594" s="54"/>
      <c r="S594" s="54">
        <v>0.99399999999999999</v>
      </c>
      <c r="T594" s="54">
        <v>0.85799999999999998</v>
      </c>
      <c r="U594" s="54">
        <v>0.97299999999999998</v>
      </c>
      <c r="V594" s="54" t="s">
        <v>358</v>
      </c>
      <c r="W594" s="54" t="s">
        <v>359</v>
      </c>
      <c r="X594" s="54"/>
      <c r="Y594" s="72" t="s">
        <v>360</v>
      </c>
      <c r="Z594" s="172"/>
      <c r="AA594" s="172"/>
      <c r="AB594" s="172"/>
      <c r="AC594" s="172"/>
      <c r="AD594" s="172"/>
      <c r="AE594" s="172"/>
      <c r="AF594" s="172"/>
      <c r="AG594" s="172"/>
      <c r="AH594" s="172"/>
      <c r="AI594" s="172"/>
      <c r="AJ594" s="172"/>
      <c r="AK594" s="172"/>
      <c r="AL594" s="172"/>
    </row>
    <row r="595" spans="1:38" s="45" customFormat="1">
      <c r="A595" s="53">
        <v>112</v>
      </c>
      <c r="B595" s="60" t="s">
        <v>322</v>
      </c>
      <c r="C595" s="60">
        <v>1996</v>
      </c>
      <c r="D595" s="60" t="s">
        <v>323</v>
      </c>
      <c r="E595" s="56" t="s">
        <v>20</v>
      </c>
      <c r="F595" s="54">
        <v>1996</v>
      </c>
      <c r="G595" s="54" t="s">
        <v>326</v>
      </c>
      <c r="H595" s="54" t="s">
        <v>159</v>
      </c>
      <c r="I595" s="54"/>
      <c r="J595" s="66" t="s">
        <v>1013</v>
      </c>
      <c r="K595" s="54" t="s">
        <v>1053</v>
      </c>
      <c r="L595" s="54" t="s">
        <v>385</v>
      </c>
      <c r="M595" s="54" t="s">
        <v>386</v>
      </c>
      <c r="N595" s="54"/>
      <c r="O595" s="54" t="s">
        <v>387</v>
      </c>
      <c r="P595" s="54"/>
      <c r="Q595" s="54"/>
      <c r="R595" s="54"/>
      <c r="S595" s="54"/>
      <c r="T595" s="54"/>
      <c r="U595" s="54">
        <v>0.91</v>
      </c>
      <c r="V595" s="54"/>
      <c r="W595" s="54"/>
      <c r="X595" s="54"/>
      <c r="Y595" s="72" t="s">
        <v>388</v>
      </c>
      <c r="Z595" s="172"/>
      <c r="AA595" s="172"/>
      <c r="AB595" s="172"/>
      <c r="AC595" s="172"/>
      <c r="AD595" s="172"/>
      <c r="AE595" s="172"/>
      <c r="AF595" s="172"/>
      <c r="AG595" s="172"/>
      <c r="AH595" s="172"/>
      <c r="AI595" s="172"/>
      <c r="AJ595" s="172"/>
      <c r="AK595" s="172"/>
      <c r="AL595" s="172"/>
    </row>
    <row r="598" spans="1:38">
      <c r="A598" s="160" t="s">
        <v>1159</v>
      </c>
    </row>
    <row r="599" spans="1:38">
      <c r="A599" s="53">
        <v>121</v>
      </c>
      <c r="B599" s="65" t="s">
        <v>427</v>
      </c>
      <c r="C599" s="65">
        <v>2002</v>
      </c>
      <c r="D599" s="65" t="s">
        <v>428</v>
      </c>
      <c r="E599" s="56" t="s">
        <v>430</v>
      </c>
      <c r="F599" s="54">
        <v>2002</v>
      </c>
      <c r="G599" s="54" t="s">
        <v>457</v>
      </c>
      <c r="H599" s="54"/>
      <c r="I599" s="54"/>
      <c r="J599" s="54"/>
      <c r="K599" s="54"/>
      <c r="L599" s="54" t="s">
        <v>453</v>
      </c>
      <c r="M599" s="54" t="s">
        <v>458</v>
      </c>
      <c r="N599" s="54" t="s">
        <v>459</v>
      </c>
      <c r="O599" s="54" t="s">
        <v>460</v>
      </c>
      <c r="P599" s="54"/>
      <c r="Q599" s="54"/>
      <c r="R599" s="54"/>
      <c r="S599" s="54"/>
      <c r="T599" s="54"/>
      <c r="U599" s="54"/>
      <c r="V599" s="54"/>
      <c r="W599" s="54"/>
      <c r="X599" s="54"/>
      <c r="Y599" s="72">
        <v>1454</v>
      </c>
    </row>
    <row r="600" spans="1:38">
      <c r="A600" s="53">
        <v>174</v>
      </c>
      <c r="B600" s="54" t="s">
        <v>697</v>
      </c>
      <c r="C600" s="54">
        <v>2009</v>
      </c>
      <c r="D600" s="55" t="s">
        <v>698</v>
      </c>
      <c r="E600" s="56" t="s">
        <v>20</v>
      </c>
      <c r="F600" s="57" t="s">
        <v>701</v>
      </c>
      <c r="G600" s="54"/>
      <c r="H600" s="54"/>
      <c r="I600" s="54"/>
      <c r="J600" s="160" t="s">
        <v>1093</v>
      </c>
      <c r="K600" s="54" t="s">
        <v>1094</v>
      </c>
      <c r="L600" s="54" t="s">
        <v>738</v>
      </c>
      <c r="M600" s="59"/>
      <c r="N600" s="59"/>
      <c r="O600" s="54" t="s">
        <v>739</v>
      </c>
      <c r="P600" s="60"/>
      <c r="Q600" s="60"/>
      <c r="R600" s="54"/>
      <c r="S600" s="54"/>
      <c r="T600" s="54"/>
      <c r="U600" s="61">
        <v>0.92200000000000004</v>
      </c>
      <c r="V600" s="167"/>
      <c r="W600" s="167"/>
      <c r="X600" s="167"/>
      <c r="Y600" s="219">
        <v>1411</v>
      </c>
    </row>
    <row r="601" spans="1:38">
      <c r="A601" s="53">
        <v>174</v>
      </c>
      <c r="B601" s="54" t="s">
        <v>697</v>
      </c>
      <c r="C601" s="54">
        <v>2009</v>
      </c>
      <c r="D601" s="55" t="s">
        <v>698</v>
      </c>
      <c r="E601" s="56" t="s">
        <v>20</v>
      </c>
      <c r="F601" s="57" t="s">
        <v>701</v>
      </c>
      <c r="G601" s="54" t="s">
        <v>749</v>
      </c>
      <c r="H601" s="54"/>
      <c r="I601" s="54"/>
      <c r="J601" s="160" t="s">
        <v>1093</v>
      </c>
      <c r="K601" s="169" t="s">
        <v>1097</v>
      </c>
      <c r="L601" s="54" t="s">
        <v>750</v>
      </c>
      <c r="M601" s="59"/>
      <c r="N601" s="59"/>
      <c r="O601" s="54" t="s">
        <v>751</v>
      </c>
      <c r="P601" s="60"/>
      <c r="Q601" s="60"/>
      <c r="R601" s="54"/>
      <c r="S601" s="54"/>
      <c r="T601" s="54"/>
      <c r="U601" s="61">
        <v>0.94299999999999995</v>
      </c>
      <c r="V601" s="167"/>
      <c r="W601" s="167"/>
      <c r="X601" s="167"/>
      <c r="Y601" s="219">
        <v>1571</v>
      </c>
    </row>
    <row r="602" spans="1:38">
      <c r="A602" s="53">
        <v>174</v>
      </c>
      <c r="B602" s="54" t="s">
        <v>697</v>
      </c>
      <c r="C602" s="54">
        <v>2009</v>
      </c>
      <c r="D602" s="55" t="s">
        <v>698</v>
      </c>
      <c r="E602" s="56" t="s">
        <v>20</v>
      </c>
      <c r="F602" s="57" t="s">
        <v>701</v>
      </c>
      <c r="G602" s="54" t="s">
        <v>733</v>
      </c>
      <c r="H602" s="54"/>
      <c r="I602" s="54"/>
      <c r="J602" s="160" t="s">
        <v>1093</v>
      </c>
      <c r="K602" s="54" t="s">
        <v>1100</v>
      </c>
      <c r="L602" s="54" t="s">
        <v>734</v>
      </c>
      <c r="M602" s="59"/>
      <c r="N602" s="59"/>
      <c r="O602" s="54" t="s">
        <v>734</v>
      </c>
      <c r="P602" s="60"/>
      <c r="Q602" s="60"/>
      <c r="R602" s="54"/>
      <c r="S602" s="54"/>
      <c r="T602" s="54"/>
      <c r="U602" s="61">
        <v>0.91100000000000003</v>
      </c>
      <c r="V602" s="167"/>
      <c r="W602" s="167"/>
      <c r="X602" s="167"/>
      <c r="Y602" s="219">
        <v>1394</v>
      </c>
    </row>
    <row r="604" spans="1:38">
      <c r="A604" s="160" t="s">
        <v>1165</v>
      </c>
    </row>
    <row r="605" spans="1:38">
      <c r="A605" s="53">
        <v>197</v>
      </c>
      <c r="B605" s="64" t="s">
        <v>875</v>
      </c>
      <c r="C605" s="96">
        <v>2007</v>
      </c>
      <c r="D605" s="64" t="s">
        <v>928</v>
      </c>
      <c r="E605" s="56" t="s">
        <v>20</v>
      </c>
      <c r="F605" s="54">
        <v>2003</v>
      </c>
      <c r="G605" s="54" t="s">
        <v>326</v>
      </c>
      <c r="H605" s="54" t="s">
        <v>159</v>
      </c>
      <c r="I605" s="54"/>
      <c r="K605" s="54" t="s">
        <v>1108</v>
      </c>
      <c r="L605" s="54" t="s">
        <v>926</v>
      </c>
      <c r="M605" s="54"/>
      <c r="N605" s="54"/>
      <c r="O605" s="54" t="s">
        <v>927</v>
      </c>
      <c r="P605" s="54">
        <v>0.96</v>
      </c>
      <c r="Q605" s="54">
        <v>0.76</v>
      </c>
      <c r="R605" s="54"/>
      <c r="S605" s="54"/>
      <c r="T605" s="54">
        <v>0.87</v>
      </c>
      <c r="U605" s="54"/>
      <c r="V605" s="54"/>
      <c r="W605" s="54">
        <v>2784</v>
      </c>
      <c r="X605" s="54"/>
      <c r="Y605" s="72"/>
    </row>
    <row r="606" spans="1:38">
      <c r="A606" s="53">
        <v>197</v>
      </c>
      <c r="B606" s="64" t="s">
        <v>875</v>
      </c>
      <c r="C606" s="96">
        <v>2007</v>
      </c>
      <c r="D606" s="64" t="s">
        <v>928</v>
      </c>
      <c r="E606" s="56" t="s">
        <v>20</v>
      </c>
      <c r="F606" s="54">
        <v>2003</v>
      </c>
      <c r="G606" s="54" t="s">
        <v>326</v>
      </c>
      <c r="H606" s="54" t="s">
        <v>159</v>
      </c>
      <c r="I606" s="54"/>
      <c r="K606" s="169" t="s">
        <v>1109</v>
      </c>
      <c r="L606" s="54" t="s">
        <v>935</v>
      </c>
      <c r="M606" s="54"/>
      <c r="N606" s="54"/>
      <c r="O606" s="54" t="s">
        <v>936</v>
      </c>
      <c r="P606" s="54">
        <v>0.98</v>
      </c>
      <c r="Q606" s="54">
        <v>0.88</v>
      </c>
      <c r="R606" s="54">
        <v>0.97</v>
      </c>
      <c r="S606" s="54">
        <v>0.98</v>
      </c>
      <c r="T606" s="54">
        <v>0.88</v>
      </c>
      <c r="U606" s="54">
        <v>0.98</v>
      </c>
      <c r="V606" s="54">
        <v>1612</v>
      </c>
      <c r="W606" s="54">
        <v>1447.3</v>
      </c>
      <c r="X606" s="54"/>
      <c r="Y606" s="72">
        <v>1606.6</v>
      </c>
    </row>
    <row r="607" spans="1:38">
      <c r="A607" s="53">
        <v>197</v>
      </c>
      <c r="B607" s="64" t="s">
        <v>875</v>
      </c>
      <c r="C607" s="96">
        <v>2007</v>
      </c>
      <c r="D607" s="64" t="s">
        <v>928</v>
      </c>
      <c r="E607" s="56" t="s">
        <v>20</v>
      </c>
      <c r="F607" s="54">
        <v>2003</v>
      </c>
      <c r="G607" s="54" t="s">
        <v>326</v>
      </c>
      <c r="H607" s="54" t="s">
        <v>159</v>
      </c>
      <c r="I607" s="54"/>
      <c r="K607" s="54" t="s">
        <v>1110</v>
      </c>
      <c r="L607" s="54" t="s">
        <v>925</v>
      </c>
      <c r="M607" s="54"/>
      <c r="N607" s="54"/>
      <c r="O607" s="54" t="s">
        <v>934</v>
      </c>
      <c r="P607" s="54">
        <v>0.98</v>
      </c>
      <c r="Q607" s="54">
        <v>0.82</v>
      </c>
      <c r="R607" s="54">
        <v>0.97</v>
      </c>
      <c r="S607" s="54">
        <v>0.99</v>
      </c>
      <c r="T607" s="54">
        <v>0.86</v>
      </c>
      <c r="U607" s="54">
        <v>0.98</v>
      </c>
      <c r="V607" s="54">
        <v>1721.8</v>
      </c>
      <c r="W607" s="54">
        <v>1436</v>
      </c>
      <c r="X607" s="54"/>
      <c r="Y607" s="72">
        <v>1712.2</v>
      </c>
    </row>
    <row r="608" spans="1:38">
      <c r="A608" s="53">
        <v>197</v>
      </c>
      <c r="B608" s="64" t="s">
        <v>875</v>
      </c>
      <c r="C608" s="96">
        <v>2007</v>
      </c>
      <c r="D608" s="64" t="s">
        <v>928</v>
      </c>
      <c r="E608" s="56" t="s">
        <v>20</v>
      </c>
      <c r="F608" s="54">
        <v>2003</v>
      </c>
      <c r="G608" s="54" t="s">
        <v>326</v>
      </c>
      <c r="H608" s="54" t="s">
        <v>159</v>
      </c>
      <c r="I608" s="54"/>
      <c r="K608" s="54" t="s">
        <v>938</v>
      </c>
      <c r="L608" s="54" t="s">
        <v>938</v>
      </c>
      <c r="M608" s="54"/>
      <c r="N608" s="54"/>
      <c r="O608" s="54" t="s">
        <v>939</v>
      </c>
      <c r="P608" s="54">
        <v>0.97</v>
      </c>
      <c r="Q608" s="54"/>
      <c r="R608" s="54"/>
      <c r="S608" s="54">
        <v>1</v>
      </c>
      <c r="T608" s="54"/>
      <c r="U608" s="54"/>
      <c r="V608" s="54">
        <v>3520.2</v>
      </c>
      <c r="W608" s="54"/>
      <c r="X608" s="54"/>
      <c r="Y608" s="72"/>
    </row>
    <row r="611" spans="1:38">
      <c r="A611" s="160" t="s">
        <v>1334</v>
      </c>
    </row>
    <row r="612" spans="1:38" s="107" customFormat="1">
      <c r="A612" s="97">
        <v>150</v>
      </c>
      <c r="B612" s="103" t="s">
        <v>542</v>
      </c>
      <c r="C612" s="98">
        <v>1970</v>
      </c>
      <c r="D612" s="103" t="s">
        <v>543</v>
      </c>
      <c r="E612" s="99" t="s">
        <v>20</v>
      </c>
      <c r="F612" s="98">
        <v>1968</v>
      </c>
      <c r="G612" s="98"/>
      <c r="H612" s="98"/>
      <c r="I612" s="98"/>
      <c r="J612" s="98" t="s">
        <v>1013</v>
      </c>
      <c r="K612" s="98" t="s">
        <v>1002</v>
      </c>
      <c r="L612" s="98" t="s">
        <v>546</v>
      </c>
      <c r="M612" s="98" t="s">
        <v>547</v>
      </c>
      <c r="N612" s="98"/>
      <c r="O612" s="98" t="s">
        <v>548</v>
      </c>
      <c r="P612" s="98"/>
      <c r="Q612" s="98"/>
      <c r="R612" s="98"/>
      <c r="S612" s="98"/>
      <c r="T612" s="98"/>
      <c r="U612" s="98"/>
      <c r="V612" s="98"/>
      <c r="W612" s="98"/>
      <c r="X612" s="101" t="str">
        <f>IF(R612&lt;&gt;0,IF(R612&gt;1,R612/100,R612),IF(U612&lt;&gt;0,IF(U612&gt;1,U612/100,U612),""))</f>
        <v/>
      </c>
      <c r="Y612" s="111">
        <v>1030</v>
      </c>
      <c r="Z612" s="106" t="str">
        <f>IF(X612&lt;&gt;"",IF(X612&lt;0.9,"S","F"),"")</f>
        <v/>
      </c>
      <c r="AI612" s="174"/>
      <c r="AJ612" s="174"/>
      <c r="AK612" s="174"/>
      <c r="AL612" s="174"/>
    </row>
    <row r="613" spans="1:38" s="107" customFormat="1">
      <c r="A613" s="97">
        <v>150</v>
      </c>
      <c r="B613" s="103" t="s">
        <v>542</v>
      </c>
      <c r="C613" s="98">
        <v>1970</v>
      </c>
      <c r="D613" s="103" t="s">
        <v>543</v>
      </c>
      <c r="E613" s="99" t="s">
        <v>20</v>
      </c>
      <c r="F613" s="98">
        <v>1968</v>
      </c>
      <c r="G613" s="98"/>
      <c r="H613" s="98"/>
      <c r="I613" s="98"/>
      <c r="J613" s="98" t="s">
        <v>1013</v>
      </c>
      <c r="K613" s="98" t="s">
        <v>1002</v>
      </c>
      <c r="L613" s="98" t="s">
        <v>551</v>
      </c>
      <c r="M613" s="98" t="s">
        <v>552</v>
      </c>
      <c r="N613" s="98"/>
      <c r="O613" s="98" t="s">
        <v>553</v>
      </c>
      <c r="P613" s="98"/>
      <c r="Q613" s="98"/>
      <c r="R613" s="98"/>
      <c r="S613" s="98"/>
      <c r="T613" s="98"/>
      <c r="U613" s="98"/>
      <c r="V613" s="98"/>
      <c r="W613" s="98"/>
      <c r="X613" s="101" t="str">
        <f>IF(R613&lt;&gt;0,IF(R613&gt;1,R613/100,R613),IF(U613&lt;&gt;0,IF(U613&gt;1,U613/100,U613),""))</f>
        <v/>
      </c>
      <c r="Y613" s="111">
        <v>1143</v>
      </c>
      <c r="Z613" s="106" t="str">
        <f>IF(X613&lt;&gt;"",IF(X613&lt;0.9,"S","F"),"")</f>
        <v/>
      </c>
      <c r="AI613" s="174"/>
      <c r="AJ613" s="174"/>
      <c r="AK613" s="174"/>
      <c r="AL613" s="174"/>
    </row>
    <row r="614" spans="1:38" s="107" customFormat="1">
      <c r="A614" s="97">
        <v>150</v>
      </c>
      <c r="B614" s="103" t="s">
        <v>542</v>
      </c>
      <c r="C614" s="98">
        <v>1970</v>
      </c>
      <c r="D614" s="103" t="s">
        <v>543</v>
      </c>
      <c r="E614" s="99" t="s">
        <v>20</v>
      </c>
      <c r="F614" s="98">
        <v>1968</v>
      </c>
      <c r="G614" s="98"/>
      <c r="H614" s="98"/>
      <c r="I614" s="98"/>
      <c r="J614" s="98" t="s">
        <v>1013</v>
      </c>
      <c r="K614" s="98" t="s">
        <v>1002</v>
      </c>
      <c r="L614" s="98" t="s">
        <v>549</v>
      </c>
      <c r="M614" s="98" t="s">
        <v>547</v>
      </c>
      <c r="N614" s="98"/>
      <c r="O614" s="98" t="s">
        <v>550</v>
      </c>
      <c r="P614" s="98"/>
      <c r="Q614" s="98"/>
      <c r="R614" s="98"/>
      <c r="S614" s="98"/>
      <c r="T614" s="98"/>
      <c r="U614" s="98"/>
      <c r="V614" s="98"/>
      <c r="W614" s="98"/>
      <c r="X614" s="101" t="str">
        <f>IF(R614&lt;&gt;0,IF(R614&gt;1,R614/100,R614),IF(U614&lt;&gt;0,IF(U614&gt;1,U614/100,U614),""))</f>
        <v/>
      </c>
      <c r="Y614" s="111">
        <v>1213</v>
      </c>
      <c r="Z614" s="106" t="str">
        <f>IF(X614&lt;&gt;"",IF(X614&lt;0.9,"S","F"),"")</f>
        <v/>
      </c>
      <c r="AI614" s="174"/>
      <c r="AJ614" s="174"/>
      <c r="AK614" s="174"/>
      <c r="AL614" s="174"/>
    </row>
    <row r="615" spans="1:38" s="107" customFormat="1">
      <c r="A615" s="97">
        <v>150</v>
      </c>
      <c r="B615" s="103" t="s">
        <v>542</v>
      </c>
      <c r="C615" s="98">
        <v>1970</v>
      </c>
      <c r="D615" s="103" t="s">
        <v>543</v>
      </c>
      <c r="E615" s="99" t="s">
        <v>20</v>
      </c>
      <c r="F615" s="98">
        <v>1968</v>
      </c>
      <c r="G615" s="98"/>
      <c r="H615" s="98"/>
      <c r="I615" s="98"/>
      <c r="J615" s="98" t="s">
        <v>1013</v>
      </c>
      <c r="K615" s="98" t="s">
        <v>1006</v>
      </c>
      <c r="L615" s="98" t="s">
        <v>557</v>
      </c>
      <c r="M615" s="98" t="s">
        <v>555</v>
      </c>
      <c r="N615" s="98"/>
      <c r="O615" s="98" t="s">
        <v>558</v>
      </c>
      <c r="P615" s="98"/>
      <c r="Q615" s="98"/>
      <c r="R615" s="98"/>
      <c r="S615" s="98"/>
      <c r="T615" s="98"/>
      <c r="U615" s="98"/>
      <c r="V615" s="98"/>
      <c r="W615" s="98"/>
      <c r="X615" s="101" t="str">
        <f>IF(R615&lt;&gt;0,IF(R615&gt;1,R615/100,R615),IF(U615&lt;&gt;0,IF(U615&gt;1,U615/100,U615),""))</f>
        <v/>
      </c>
      <c r="Y615" s="111">
        <v>1395</v>
      </c>
      <c r="Z615" s="106" t="str">
        <f>IF(X615&lt;&gt;"",IF(X615&lt;0.9,"S","F"),"")</f>
        <v/>
      </c>
      <c r="AA615" s="174"/>
      <c r="AB615" s="174"/>
      <c r="AC615" s="174"/>
      <c r="AD615" s="174"/>
      <c r="AE615" s="174"/>
      <c r="AF615" s="174"/>
      <c r="AG615" s="174"/>
      <c r="AH615" s="174"/>
      <c r="AI615" s="174"/>
      <c r="AJ615" s="174"/>
      <c r="AK615" s="174"/>
      <c r="AL615" s="174"/>
    </row>
    <row r="616" spans="1:38" s="107" customFormat="1">
      <c r="A616" s="97">
        <v>150</v>
      </c>
      <c r="B616" s="103" t="s">
        <v>542</v>
      </c>
      <c r="C616" s="98">
        <v>1970</v>
      </c>
      <c r="D616" s="103" t="s">
        <v>543</v>
      </c>
      <c r="E616" s="99" t="s">
        <v>20</v>
      </c>
      <c r="F616" s="98">
        <v>1968</v>
      </c>
      <c r="G616" s="98"/>
      <c r="H616" s="98"/>
      <c r="I616" s="98"/>
      <c r="J616" s="98" t="s">
        <v>1013</v>
      </c>
      <c r="K616" s="98" t="s">
        <v>1006</v>
      </c>
      <c r="L616" s="98" t="s">
        <v>554</v>
      </c>
      <c r="M616" s="98" t="s">
        <v>555</v>
      </c>
      <c r="N616" s="98"/>
      <c r="O616" s="98" t="s">
        <v>556</v>
      </c>
      <c r="P616" s="98"/>
      <c r="Q616" s="98"/>
      <c r="R616" s="98"/>
      <c r="S616" s="98"/>
      <c r="T616" s="98"/>
      <c r="U616" s="98"/>
      <c r="V616" s="98"/>
      <c r="W616" s="98"/>
      <c r="X616" s="101" t="str">
        <f>IF(R616&lt;&gt;0,IF(R616&gt;1,R616/100,R616),IF(U616&lt;&gt;0,IF(U616&gt;1,U616/100,U616),""))</f>
        <v/>
      </c>
      <c r="Y616" s="111">
        <v>1554</v>
      </c>
      <c r="Z616" s="106" t="str">
        <f>IF(X616&lt;&gt;"",IF(X616&lt;0.9,"S","F"),"")</f>
        <v/>
      </c>
      <c r="AA616" s="174"/>
      <c r="AB616" s="174"/>
      <c r="AC616" s="174"/>
      <c r="AD616" s="174"/>
      <c r="AE616" s="174"/>
      <c r="AF616" s="174"/>
      <c r="AG616" s="174"/>
      <c r="AH616" s="174"/>
      <c r="AI616" s="174"/>
      <c r="AJ616" s="174"/>
      <c r="AK616" s="174"/>
      <c r="AL616" s="174"/>
    </row>
  </sheetData>
  <sortState ref="A61:AL69">
    <sortCondition ref="Y61:Y69"/>
  </sortState>
  <dataValidations count="1">
    <dataValidation showInputMessage="1" showErrorMessage="1" sqref="A1"/>
  </dataValidation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3"/>
  <sheetViews>
    <sheetView topLeftCell="F1" workbookViewId="0">
      <pane ySplit="560" activePane="bottomLeft"/>
      <selection pane="bottomLeft" activeCell="J1" sqref="J1"/>
    </sheetView>
  </sheetViews>
  <sheetFormatPr baseColWidth="10" defaultRowHeight="15" x14ac:dyDescent="0"/>
  <cols>
    <col min="11" max="11" width="35.33203125" bestFit="1" customWidth="1"/>
    <col min="12" max="12" width="48.1640625" customWidth="1"/>
    <col min="27" max="27" width="23.5" bestFit="1" customWidth="1"/>
  </cols>
  <sheetData>
    <row r="1" spans="1:39">
      <c r="A1" s="36" t="s">
        <v>0</v>
      </c>
      <c r="B1" s="36" t="s">
        <v>1</v>
      </c>
      <c r="C1" s="37" t="s">
        <v>2</v>
      </c>
      <c r="D1" s="37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1130</v>
      </c>
      <c r="W1" s="36" t="s">
        <v>1131</v>
      </c>
      <c r="X1" s="36" t="s">
        <v>1174</v>
      </c>
      <c r="Y1" s="36" t="s">
        <v>15</v>
      </c>
      <c r="Z1" s="36" t="s">
        <v>1176</v>
      </c>
    </row>
    <row r="2" spans="1:39" s="49" customFormat="1">
      <c r="A2" s="53"/>
      <c r="B2" s="290" t="s">
        <v>1276</v>
      </c>
      <c r="C2" s="291">
        <v>1989</v>
      </c>
      <c r="D2" s="66"/>
      <c r="E2" s="60" t="s">
        <v>49</v>
      </c>
      <c r="F2" s="54"/>
      <c r="G2" s="54"/>
      <c r="H2" s="54"/>
      <c r="I2" s="54"/>
      <c r="J2" s="257" t="s">
        <v>1013</v>
      </c>
      <c r="K2" s="257" t="s">
        <v>1002</v>
      </c>
      <c r="L2" s="54"/>
      <c r="M2" s="54"/>
      <c r="N2" s="54"/>
      <c r="O2" s="45" t="s">
        <v>1233</v>
      </c>
      <c r="P2" s="54"/>
      <c r="Q2" s="54"/>
      <c r="R2" s="45">
        <v>0.97199999999999998</v>
      </c>
      <c r="S2" s="54"/>
      <c r="T2" s="54"/>
      <c r="U2" s="54"/>
      <c r="V2" s="54"/>
      <c r="W2" s="54"/>
      <c r="X2" s="66">
        <f t="shared" ref="X2:X33" si="0">IF(R2&lt;&gt;0,IF(R2&gt;1,R2/100,R2),IF(U2&lt;&gt;0,IF(U2&gt;1,U2/100,U2),""))</f>
        <v>0.97199999999999998</v>
      </c>
      <c r="Y2" s="45">
        <v>0.7</v>
      </c>
      <c r="Z2" s="192" t="str">
        <f t="shared" ref="Z2:Z33" si="1">IF(X2&lt;&gt;"",IF(X2&lt;0.9,"S","F"),"")</f>
        <v>F</v>
      </c>
      <c r="AA2" s="293"/>
      <c r="AB2" s="293" t="s">
        <v>1206</v>
      </c>
      <c r="AC2" s="293" t="s">
        <v>1207</v>
      </c>
      <c r="AD2" s="293" t="s">
        <v>1208</v>
      </c>
      <c r="AE2" s="293" t="s">
        <v>1209</v>
      </c>
      <c r="AF2" s="293" t="s">
        <v>1210</v>
      </c>
      <c r="AG2" s="293" t="s">
        <v>1211</v>
      </c>
      <c r="AH2" s="45"/>
      <c r="AI2" s="45"/>
      <c r="AJ2" s="45"/>
      <c r="AK2" s="45"/>
      <c r="AL2" s="45"/>
      <c r="AM2" s="45"/>
    </row>
    <row r="3" spans="1:39" s="49" customFormat="1">
      <c r="A3" s="53">
        <v>118</v>
      </c>
      <c r="B3" s="73" t="s">
        <v>399</v>
      </c>
      <c r="C3" s="54">
        <v>1999</v>
      </c>
      <c r="D3" s="73" t="s">
        <v>400</v>
      </c>
      <c r="E3" s="56" t="s">
        <v>20</v>
      </c>
      <c r="F3" s="54">
        <v>1999</v>
      </c>
      <c r="G3" s="54" t="s">
        <v>326</v>
      </c>
      <c r="H3" s="54" t="s">
        <v>159</v>
      </c>
      <c r="I3" s="54"/>
      <c r="J3" s="66" t="s">
        <v>1013</v>
      </c>
      <c r="K3" s="54" t="s">
        <v>1054</v>
      </c>
      <c r="L3" s="54" t="s">
        <v>405</v>
      </c>
      <c r="M3" s="54"/>
      <c r="N3" s="54"/>
      <c r="O3" s="54">
        <v>3</v>
      </c>
      <c r="P3" s="54"/>
      <c r="Q3" s="54"/>
      <c r="R3" s="54"/>
      <c r="S3" s="54"/>
      <c r="T3" s="54"/>
      <c r="U3" s="54">
        <v>0.95</v>
      </c>
      <c r="V3" s="54"/>
      <c r="W3" s="54"/>
      <c r="X3" s="66">
        <f t="shared" si="0"/>
        <v>0.95</v>
      </c>
      <c r="Y3" s="72">
        <v>2.6640000000000001</v>
      </c>
      <c r="Z3" s="192" t="str">
        <f t="shared" si="1"/>
        <v>F</v>
      </c>
      <c r="AA3" s="293" t="s">
        <v>1330</v>
      </c>
      <c r="AB3" s="299">
        <f>AVERAGE($Y$2:$Y$10)</f>
        <v>2.329333333333333</v>
      </c>
      <c r="AC3" s="299">
        <f>MEDIAN($Y$2:$Y$10)</f>
        <v>2</v>
      </c>
      <c r="AD3" s="299">
        <f>MAX($Y$2:$Y$10)</f>
        <v>4.0999999999999996</v>
      </c>
      <c r="AE3" s="299">
        <f>MIN($Y$2:$Y$10)</f>
        <v>0.7</v>
      </c>
      <c r="AF3" s="299">
        <f>STDEV($Y$2:$Y$10)</f>
        <v>0.94039566141066411</v>
      </c>
      <c r="AG3" s="293">
        <f>COUNT($Y$2:$Y$10)</f>
        <v>9</v>
      </c>
      <c r="AH3" s="45"/>
      <c r="AI3" s="45"/>
      <c r="AJ3" s="45"/>
      <c r="AK3" s="45"/>
      <c r="AL3" s="45"/>
      <c r="AM3" s="45"/>
    </row>
    <row r="4" spans="1:39" s="49" customFormat="1">
      <c r="A4" s="53"/>
      <c r="B4" s="290" t="s">
        <v>1276</v>
      </c>
      <c r="C4" s="291">
        <v>1989</v>
      </c>
      <c r="D4" s="66"/>
      <c r="E4" s="60" t="s">
        <v>49</v>
      </c>
      <c r="F4" s="54"/>
      <c r="G4" s="54"/>
      <c r="H4" s="54"/>
      <c r="I4" s="54"/>
      <c r="J4" s="257" t="s">
        <v>1013</v>
      </c>
      <c r="K4" s="257" t="s">
        <v>1002</v>
      </c>
      <c r="L4" s="54"/>
      <c r="M4" s="54"/>
      <c r="N4" s="54"/>
      <c r="O4" s="45" t="s">
        <v>1232</v>
      </c>
      <c r="P4" s="54"/>
      <c r="Q4" s="54"/>
      <c r="R4" s="45">
        <v>0.94899999999999995</v>
      </c>
      <c r="S4" s="54"/>
      <c r="T4" s="54"/>
      <c r="U4" s="54"/>
      <c r="V4" s="54"/>
      <c r="W4" s="54"/>
      <c r="X4" s="66">
        <f t="shared" si="0"/>
        <v>0.94899999999999995</v>
      </c>
      <c r="Y4" s="45">
        <v>1.9</v>
      </c>
      <c r="Z4" s="192" t="str">
        <f t="shared" si="1"/>
        <v>F</v>
      </c>
      <c r="AA4" s="293" t="s">
        <v>1331</v>
      </c>
      <c r="AB4" s="299">
        <f>AVERAGE($Y$11:$Y$22)</f>
        <v>5.2416666666666671</v>
      </c>
      <c r="AC4" s="299">
        <f>MEDIAN($Y$11:$Y$22)</f>
        <v>5.5</v>
      </c>
      <c r="AD4" s="299">
        <f>MAX($Y$11:$Y$22)</f>
        <v>9</v>
      </c>
      <c r="AE4" s="299">
        <f>MIN($Y$11:$Y$22)</f>
        <v>1.8</v>
      </c>
      <c r="AF4" s="299">
        <f>STDEV($Y$11:$Y$22)</f>
        <v>2.0205572288731424</v>
      </c>
      <c r="AG4" s="293">
        <f>COUNT($Y$11:$Y$22)</f>
        <v>12</v>
      </c>
      <c r="AH4" s="45"/>
      <c r="AI4" s="45"/>
      <c r="AJ4" s="45"/>
      <c r="AK4" s="45"/>
      <c r="AL4" s="45"/>
      <c r="AM4" s="45"/>
    </row>
    <row r="5" spans="1:39" s="49" customFormat="1">
      <c r="A5" s="53"/>
      <c r="B5" s="290" t="s">
        <v>1276</v>
      </c>
      <c r="C5" s="291">
        <v>1989</v>
      </c>
      <c r="D5" s="66"/>
      <c r="E5" s="60" t="s">
        <v>49</v>
      </c>
      <c r="F5" s="54"/>
      <c r="G5" s="54"/>
      <c r="H5" s="54"/>
      <c r="I5" s="54"/>
      <c r="J5" s="257" t="s">
        <v>1013</v>
      </c>
      <c r="K5" s="257" t="s">
        <v>1002</v>
      </c>
      <c r="L5" s="54"/>
      <c r="M5" s="54"/>
      <c r="N5" s="54"/>
      <c r="O5" s="45" t="s">
        <v>1230</v>
      </c>
      <c r="P5" s="54"/>
      <c r="Q5" s="54"/>
      <c r="R5" s="45">
        <v>0.94</v>
      </c>
      <c r="S5" s="54"/>
      <c r="T5" s="54"/>
      <c r="U5" s="54"/>
      <c r="V5" s="54"/>
      <c r="W5" s="54"/>
      <c r="X5" s="66">
        <f t="shared" si="0"/>
        <v>0.94</v>
      </c>
      <c r="Y5" s="45">
        <v>1.9</v>
      </c>
      <c r="Z5" s="192" t="str">
        <f t="shared" si="1"/>
        <v>F</v>
      </c>
      <c r="AA5" s="45" t="s">
        <v>1337</v>
      </c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s="49" customFormat="1">
      <c r="A6" s="53"/>
      <c r="B6" s="290" t="s">
        <v>1276</v>
      </c>
      <c r="C6" s="291">
        <v>1989</v>
      </c>
      <c r="D6" s="66"/>
      <c r="E6" s="60" t="s">
        <v>49</v>
      </c>
      <c r="F6" s="54"/>
      <c r="G6" s="54"/>
      <c r="H6" s="54"/>
      <c r="I6" s="54"/>
      <c r="J6" s="257" t="s">
        <v>1013</v>
      </c>
      <c r="K6" s="257" t="s">
        <v>1002</v>
      </c>
      <c r="L6" s="54"/>
      <c r="M6" s="54"/>
      <c r="N6" s="54"/>
      <c r="O6" s="45" t="s">
        <v>1234</v>
      </c>
      <c r="P6" s="54"/>
      <c r="Q6" s="54"/>
      <c r="R6" s="45">
        <v>0.93600000000000005</v>
      </c>
      <c r="S6" s="54"/>
      <c r="T6" s="54"/>
      <c r="U6" s="54"/>
      <c r="V6" s="54"/>
      <c r="W6" s="54"/>
      <c r="X6" s="66">
        <f t="shared" si="0"/>
        <v>0.93600000000000005</v>
      </c>
      <c r="Y6" s="45">
        <v>2</v>
      </c>
      <c r="Z6" s="192" t="str">
        <f t="shared" si="1"/>
        <v>F</v>
      </c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s="49" customFormat="1">
      <c r="A7" s="53"/>
      <c r="B7" s="290" t="s">
        <v>1276</v>
      </c>
      <c r="C7" s="291">
        <v>1989</v>
      </c>
      <c r="D7" s="66"/>
      <c r="E7" s="60" t="s">
        <v>49</v>
      </c>
      <c r="F7" s="54"/>
      <c r="G7" s="54"/>
      <c r="H7" s="54"/>
      <c r="I7" s="54"/>
      <c r="J7" s="257" t="s">
        <v>1013</v>
      </c>
      <c r="K7" s="257" t="s">
        <v>1002</v>
      </c>
      <c r="L7" s="54"/>
      <c r="M7" s="54"/>
      <c r="N7" s="54"/>
      <c r="O7" s="45" t="s">
        <v>1254</v>
      </c>
      <c r="P7" s="54"/>
      <c r="Q7" s="54"/>
      <c r="R7" s="45">
        <v>0.93500000000000005</v>
      </c>
      <c r="S7" s="54"/>
      <c r="T7" s="54"/>
      <c r="U7" s="54"/>
      <c r="V7" s="54"/>
      <c r="W7" s="54"/>
      <c r="X7" s="66">
        <f t="shared" si="0"/>
        <v>0.93500000000000005</v>
      </c>
      <c r="Y7" s="45">
        <v>2</v>
      </c>
      <c r="Z7" s="192" t="str">
        <f t="shared" si="1"/>
        <v>F</v>
      </c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s="49" customFormat="1">
      <c r="A8" s="53"/>
      <c r="B8" s="290" t="s">
        <v>1276</v>
      </c>
      <c r="C8" s="291">
        <v>1989</v>
      </c>
      <c r="D8" s="66"/>
      <c r="E8" s="60" t="s">
        <v>49</v>
      </c>
      <c r="F8" s="54"/>
      <c r="G8" s="54"/>
      <c r="H8" s="54"/>
      <c r="I8" s="54"/>
      <c r="J8" s="257" t="s">
        <v>1013</v>
      </c>
      <c r="K8" s="257" t="s">
        <v>1002</v>
      </c>
      <c r="L8" s="54"/>
      <c r="M8" s="54"/>
      <c r="N8" s="54"/>
      <c r="O8" s="45" t="s">
        <v>1235</v>
      </c>
      <c r="P8" s="54"/>
      <c r="Q8" s="54"/>
      <c r="R8" s="45">
        <v>0.93300000000000005</v>
      </c>
      <c r="S8" s="54"/>
      <c r="T8" s="54"/>
      <c r="U8" s="54"/>
      <c r="V8" s="54"/>
      <c r="W8" s="54"/>
      <c r="X8" s="66">
        <f t="shared" si="0"/>
        <v>0.93300000000000005</v>
      </c>
      <c r="Y8" s="45">
        <v>2.7</v>
      </c>
      <c r="Z8" s="192" t="str">
        <f t="shared" si="1"/>
        <v>F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1:39" s="49" customFormat="1">
      <c r="A9" s="53"/>
      <c r="B9" s="290" t="s">
        <v>1276</v>
      </c>
      <c r="C9" s="291">
        <v>1989</v>
      </c>
      <c r="D9" s="66"/>
      <c r="E9" s="60" t="s">
        <v>49</v>
      </c>
      <c r="F9" s="54"/>
      <c r="G9" s="54"/>
      <c r="H9" s="54"/>
      <c r="I9" s="54"/>
      <c r="J9" s="257" t="s">
        <v>1013</v>
      </c>
      <c r="K9" s="257" t="s">
        <v>1002</v>
      </c>
      <c r="L9" s="54"/>
      <c r="M9" s="54"/>
      <c r="N9" s="54"/>
      <c r="O9" s="45" t="s">
        <v>1231</v>
      </c>
      <c r="P9" s="54"/>
      <c r="Q9" s="54"/>
      <c r="R9" s="45">
        <v>0.93</v>
      </c>
      <c r="S9" s="54"/>
      <c r="T9" s="54"/>
      <c r="U9" s="54"/>
      <c r="V9" s="54"/>
      <c r="W9" s="54"/>
      <c r="X9" s="66">
        <f t="shared" si="0"/>
        <v>0.93</v>
      </c>
      <c r="Y9" s="45">
        <v>3</v>
      </c>
      <c r="Z9" s="192" t="str">
        <f t="shared" si="1"/>
        <v>F</v>
      </c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39" s="49" customFormat="1">
      <c r="A10" s="53">
        <v>174</v>
      </c>
      <c r="B10" s="54" t="s">
        <v>697</v>
      </c>
      <c r="C10" s="54">
        <v>2009</v>
      </c>
      <c r="D10" s="78" t="s">
        <v>698</v>
      </c>
      <c r="E10" s="56" t="s">
        <v>20</v>
      </c>
      <c r="F10" s="57" t="s">
        <v>701</v>
      </c>
      <c r="G10" s="54" t="s">
        <v>705</v>
      </c>
      <c r="H10" s="54" t="s">
        <v>159</v>
      </c>
      <c r="I10" s="54"/>
      <c r="J10" s="66" t="s">
        <v>1013</v>
      </c>
      <c r="K10" s="54" t="s">
        <v>1087</v>
      </c>
      <c r="L10" s="54" t="s">
        <v>464</v>
      </c>
      <c r="M10" s="59"/>
      <c r="N10" s="59"/>
      <c r="O10" s="54" t="s">
        <v>464</v>
      </c>
      <c r="P10" s="60"/>
      <c r="Q10" s="60"/>
      <c r="R10" s="54"/>
      <c r="S10" s="54"/>
      <c r="T10" s="54"/>
      <c r="U10" s="61">
        <v>0.90600000000000003</v>
      </c>
      <c r="V10" s="61"/>
      <c r="W10" s="61"/>
      <c r="X10" s="66">
        <f t="shared" si="0"/>
        <v>0.90600000000000003</v>
      </c>
      <c r="Y10" s="62">
        <v>4.0999999999999996</v>
      </c>
      <c r="Z10" s="192" t="str">
        <f t="shared" si="1"/>
        <v>F</v>
      </c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s="49" customFormat="1">
      <c r="A11" s="53"/>
      <c r="B11" s="290" t="s">
        <v>1276</v>
      </c>
      <c r="C11" s="291">
        <v>1989</v>
      </c>
      <c r="D11" s="66"/>
      <c r="E11" s="60" t="s">
        <v>49</v>
      </c>
      <c r="F11" s="54"/>
      <c r="G11" s="54"/>
      <c r="H11" s="54"/>
      <c r="I11" s="54"/>
      <c r="J11" s="257" t="s">
        <v>1013</v>
      </c>
      <c r="K11" s="257" t="s">
        <v>1002</v>
      </c>
      <c r="L11" s="54"/>
      <c r="M11" s="54"/>
      <c r="N11" s="54"/>
      <c r="O11" s="45" t="s">
        <v>1226</v>
      </c>
      <c r="P11" s="54"/>
      <c r="Q11" s="54"/>
      <c r="R11" s="45">
        <v>0.89</v>
      </c>
      <c r="S11" s="54"/>
      <c r="T11" s="54"/>
      <c r="U11" s="54"/>
      <c r="V11" s="54"/>
      <c r="W11" s="54"/>
      <c r="X11" s="66">
        <f t="shared" si="0"/>
        <v>0.89</v>
      </c>
      <c r="Y11" s="45">
        <v>1.8</v>
      </c>
      <c r="Z11" s="192" t="str">
        <f t="shared" si="1"/>
        <v>S</v>
      </c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s="49" customFormat="1">
      <c r="A12" s="53"/>
      <c r="B12" s="290" t="s">
        <v>1276</v>
      </c>
      <c r="C12" s="291">
        <v>1989</v>
      </c>
      <c r="D12" s="66"/>
      <c r="E12" s="60" t="s">
        <v>49</v>
      </c>
      <c r="F12" s="54"/>
      <c r="G12" s="54"/>
      <c r="H12" s="54"/>
      <c r="I12" s="54"/>
      <c r="J12" s="257" t="s">
        <v>1013</v>
      </c>
      <c r="K12" s="257" t="s">
        <v>1002</v>
      </c>
      <c r="L12" s="54"/>
      <c r="M12" s="54"/>
      <c r="N12" s="54"/>
      <c r="O12" s="45" t="s">
        <v>1228</v>
      </c>
      <c r="P12" s="54"/>
      <c r="Q12" s="54"/>
      <c r="R12" s="45">
        <v>0.89</v>
      </c>
      <c r="S12" s="54"/>
      <c r="T12" s="54"/>
      <c r="U12" s="54"/>
      <c r="V12" s="54"/>
      <c r="W12" s="54"/>
      <c r="X12" s="66">
        <f t="shared" si="0"/>
        <v>0.89</v>
      </c>
      <c r="Y12" s="45">
        <v>2.2000000000000002</v>
      </c>
      <c r="Z12" s="192" t="str">
        <f t="shared" si="1"/>
        <v>S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s="49" customFormat="1">
      <c r="A13" s="53"/>
      <c r="B13" s="290" t="s">
        <v>1276</v>
      </c>
      <c r="C13" s="291">
        <v>1989</v>
      </c>
      <c r="D13" s="66"/>
      <c r="E13" s="60" t="s">
        <v>49</v>
      </c>
      <c r="F13" s="54"/>
      <c r="G13" s="54"/>
      <c r="H13" s="54"/>
      <c r="I13" s="54"/>
      <c r="J13" s="257" t="s">
        <v>1013</v>
      </c>
      <c r="K13" s="257" t="s">
        <v>1002</v>
      </c>
      <c r="L13" s="54"/>
      <c r="M13" s="54"/>
      <c r="N13" s="54"/>
      <c r="O13" s="45" t="s">
        <v>1227</v>
      </c>
      <c r="P13" s="54"/>
      <c r="Q13" s="54"/>
      <c r="R13" s="45">
        <v>0.88</v>
      </c>
      <c r="S13" s="54"/>
      <c r="T13" s="54"/>
      <c r="U13" s="54"/>
      <c r="V13" s="54"/>
      <c r="W13" s="54"/>
      <c r="X13" s="66">
        <f t="shared" si="0"/>
        <v>0.88</v>
      </c>
      <c r="Y13" s="45">
        <v>4.2</v>
      </c>
      <c r="Z13" s="192" t="str">
        <f t="shared" si="1"/>
        <v>S</v>
      </c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s="49" customFormat="1">
      <c r="A14" s="53"/>
      <c r="B14" s="290" t="s">
        <v>1276</v>
      </c>
      <c r="C14" s="291">
        <v>1989</v>
      </c>
      <c r="D14" s="66"/>
      <c r="E14" s="60" t="s">
        <v>49</v>
      </c>
      <c r="F14" s="54"/>
      <c r="G14" s="54"/>
      <c r="H14" s="54"/>
      <c r="I14" s="54"/>
      <c r="J14" s="257" t="s">
        <v>1013</v>
      </c>
      <c r="K14" s="257" t="s">
        <v>1002</v>
      </c>
      <c r="L14" s="54"/>
      <c r="M14" s="54"/>
      <c r="N14" s="54"/>
      <c r="O14" s="45" t="s">
        <v>1250</v>
      </c>
      <c r="P14" s="54"/>
      <c r="Q14" s="54"/>
      <c r="R14" s="45">
        <v>0.85</v>
      </c>
      <c r="S14" s="54"/>
      <c r="T14" s="54"/>
      <c r="U14" s="54"/>
      <c r="V14" s="54"/>
      <c r="W14" s="54"/>
      <c r="X14" s="66">
        <f t="shared" si="0"/>
        <v>0.85</v>
      </c>
      <c r="Y14" s="45">
        <v>4</v>
      </c>
      <c r="Z14" s="192" t="str">
        <f t="shared" si="1"/>
        <v>S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s="49" customFormat="1">
      <c r="A15" s="53"/>
      <c r="B15" s="290" t="s">
        <v>1276</v>
      </c>
      <c r="C15" s="291">
        <v>1989</v>
      </c>
      <c r="D15" s="66"/>
      <c r="E15" s="60" t="s">
        <v>49</v>
      </c>
      <c r="F15" s="54"/>
      <c r="G15" s="54"/>
      <c r="H15" s="54"/>
      <c r="I15" s="54"/>
      <c r="J15" s="257" t="s">
        <v>1013</v>
      </c>
      <c r="K15" s="257" t="s">
        <v>1002</v>
      </c>
      <c r="L15" s="54"/>
      <c r="M15" s="54"/>
      <c r="N15" s="54"/>
      <c r="O15" s="45" t="s">
        <v>1255</v>
      </c>
      <c r="P15" s="54"/>
      <c r="Q15" s="54"/>
      <c r="R15" s="45">
        <v>0.84599999999999997</v>
      </c>
      <c r="S15" s="54"/>
      <c r="T15" s="54"/>
      <c r="U15" s="54"/>
      <c r="V15" s="54"/>
      <c r="W15" s="54"/>
      <c r="X15" s="66">
        <f t="shared" si="0"/>
        <v>0.84599999999999997</v>
      </c>
      <c r="Y15" s="45">
        <v>5</v>
      </c>
      <c r="Z15" s="192" t="str">
        <f t="shared" si="1"/>
        <v>S</v>
      </c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s="49" customFormat="1">
      <c r="A16" s="53"/>
      <c r="B16" s="290" t="s">
        <v>1276</v>
      </c>
      <c r="C16" s="291">
        <v>1989</v>
      </c>
      <c r="D16" s="66"/>
      <c r="E16" s="60" t="s">
        <v>49</v>
      </c>
      <c r="F16" s="54"/>
      <c r="G16" s="54"/>
      <c r="H16" s="54"/>
      <c r="I16" s="54"/>
      <c r="J16" s="257" t="s">
        <v>1013</v>
      </c>
      <c r="K16" s="257" t="s">
        <v>1002</v>
      </c>
      <c r="L16" s="54"/>
      <c r="M16" s="54"/>
      <c r="N16" s="54"/>
      <c r="O16" s="45" t="s">
        <v>1252</v>
      </c>
      <c r="P16" s="54"/>
      <c r="Q16" s="54"/>
      <c r="R16" s="45">
        <v>0.84099999999999997</v>
      </c>
      <c r="S16" s="54"/>
      <c r="T16" s="54"/>
      <c r="U16" s="54"/>
      <c r="V16" s="54"/>
      <c r="W16" s="54"/>
      <c r="X16" s="66">
        <f t="shared" si="0"/>
        <v>0.84099999999999997</v>
      </c>
      <c r="Y16" s="45">
        <v>6</v>
      </c>
      <c r="Z16" s="192" t="str">
        <f t="shared" si="1"/>
        <v>S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1:39" s="49" customFormat="1">
      <c r="A17" s="53"/>
      <c r="B17" s="290" t="s">
        <v>1276</v>
      </c>
      <c r="C17" s="291">
        <v>1989</v>
      </c>
      <c r="D17" s="66"/>
      <c r="E17" s="60" t="s">
        <v>49</v>
      </c>
      <c r="F17" s="54"/>
      <c r="G17" s="54"/>
      <c r="H17" s="54"/>
      <c r="I17" s="54"/>
      <c r="J17" s="257" t="s">
        <v>1013</v>
      </c>
      <c r="K17" s="257" t="s">
        <v>1002</v>
      </c>
      <c r="L17" s="54"/>
      <c r="M17" s="54"/>
      <c r="N17" s="54"/>
      <c r="O17" s="45" t="s">
        <v>1247</v>
      </c>
      <c r="P17" s="54"/>
      <c r="Q17" s="54"/>
      <c r="R17" s="45">
        <v>0.83</v>
      </c>
      <c r="S17" s="54"/>
      <c r="T17" s="54"/>
      <c r="U17" s="54"/>
      <c r="V17" s="54"/>
      <c r="W17" s="54"/>
      <c r="X17" s="66">
        <f t="shared" si="0"/>
        <v>0.83</v>
      </c>
      <c r="Y17" s="45">
        <v>5</v>
      </c>
      <c r="Z17" s="192" t="str">
        <f t="shared" si="1"/>
        <v>S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s="49" customFormat="1">
      <c r="A18" s="53"/>
      <c r="B18" s="290" t="s">
        <v>1276</v>
      </c>
      <c r="C18" s="291">
        <v>1989</v>
      </c>
      <c r="D18" s="66"/>
      <c r="E18" s="60" t="s">
        <v>49</v>
      </c>
      <c r="F18" s="54"/>
      <c r="G18" s="54"/>
      <c r="H18" s="54"/>
      <c r="I18" s="54"/>
      <c r="J18" s="257" t="s">
        <v>1013</v>
      </c>
      <c r="K18" s="257" t="s">
        <v>1002</v>
      </c>
      <c r="L18" s="54"/>
      <c r="M18" s="54"/>
      <c r="N18" s="54"/>
      <c r="O18" s="45" t="s">
        <v>1253</v>
      </c>
      <c r="P18" s="54"/>
      <c r="Q18" s="54"/>
      <c r="R18" s="45">
        <v>0.82199999999999995</v>
      </c>
      <c r="S18" s="54"/>
      <c r="T18" s="54"/>
      <c r="U18" s="54"/>
      <c r="V18" s="54"/>
      <c r="W18" s="54"/>
      <c r="X18" s="66">
        <f t="shared" si="0"/>
        <v>0.82199999999999995</v>
      </c>
      <c r="Y18" s="45">
        <v>6</v>
      </c>
      <c r="Z18" s="192" t="str">
        <f t="shared" si="1"/>
        <v>S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s="49" customFormat="1">
      <c r="A19" s="53"/>
      <c r="B19" s="290" t="s">
        <v>1276</v>
      </c>
      <c r="C19" s="291">
        <v>1989</v>
      </c>
      <c r="D19" s="66"/>
      <c r="E19" s="60" t="s">
        <v>49</v>
      </c>
      <c r="F19" s="54"/>
      <c r="G19" s="54"/>
      <c r="H19" s="54"/>
      <c r="I19" s="54"/>
      <c r="J19" s="257" t="s">
        <v>1013</v>
      </c>
      <c r="K19" s="257" t="s">
        <v>1002</v>
      </c>
      <c r="L19" s="54"/>
      <c r="M19" s="54"/>
      <c r="N19" s="54"/>
      <c r="O19" s="45" t="s">
        <v>1249</v>
      </c>
      <c r="P19" s="54"/>
      <c r="Q19" s="54"/>
      <c r="R19" s="45">
        <v>0.81599999999999995</v>
      </c>
      <c r="S19" s="54"/>
      <c r="T19" s="54"/>
      <c r="U19" s="54"/>
      <c r="V19" s="54"/>
      <c r="W19" s="54"/>
      <c r="X19" s="66">
        <f t="shared" si="0"/>
        <v>0.81599999999999995</v>
      </c>
      <c r="Y19" s="45">
        <v>6</v>
      </c>
      <c r="Z19" s="192" t="str">
        <f t="shared" si="1"/>
        <v>S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s="49" customFormat="1">
      <c r="A20" s="53"/>
      <c r="B20" s="290" t="s">
        <v>1276</v>
      </c>
      <c r="C20" s="291">
        <v>1989</v>
      </c>
      <c r="D20" s="66"/>
      <c r="E20" s="60" t="s">
        <v>49</v>
      </c>
      <c r="F20" s="54"/>
      <c r="G20" s="54"/>
      <c r="H20" s="54"/>
      <c r="I20" s="54"/>
      <c r="J20" s="257" t="s">
        <v>1013</v>
      </c>
      <c r="K20" s="257" t="s">
        <v>1002</v>
      </c>
      <c r="L20" s="54"/>
      <c r="M20" s="54"/>
      <c r="N20" s="54"/>
      <c r="O20" s="45" t="s">
        <v>1248</v>
      </c>
      <c r="P20" s="54"/>
      <c r="Q20" s="54"/>
      <c r="R20" s="45">
        <v>0.81299999999999994</v>
      </c>
      <c r="S20" s="54"/>
      <c r="T20" s="54"/>
      <c r="U20" s="54"/>
      <c r="V20" s="54"/>
      <c r="W20" s="54"/>
      <c r="X20" s="66">
        <f t="shared" si="0"/>
        <v>0.81299999999999994</v>
      </c>
      <c r="Y20" s="45">
        <v>7</v>
      </c>
      <c r="Z20" s="192" t="str">
        <f t="shared" si="1"/>
        <v>S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s="49" customFormat="1">
      <c r="A21" s="53"/>
      <c r="B21" s="290" t="s">
        <v>1276</v>
      </c>
      <c r="C21" s="291">
        <v>1989</v>
      </c>
      <c r="D21" s="66"/>
      <c r="E21" s="60" t="s">
        <v>49</v>
      </c>
      <c r="F21" s="54"/>
      <c r="G21" s="54"/>
      <c r="H21" s="54"/>
      <c r="I21" s="54"/>
      <c r="J21" s="257" t="s">
        <v>1013</v>
      </c>
      <c r="K21" s="257" t="s">
        <v>1002</v>
      </c>
      <c r="L21" s="54"/>
      <c r="M21" s="54"/>
      <c r="N21" s="54"/>
      <c r="O21" s="45" t="s">
        <v>1251</v>
      </c>
      <c r="P21" s="54"/>
      <c r="Q21" s="54"/>
      <c r="R21" s="45">
        <v>0.80500000000000005</v>
      </c>
      <c r="S21" s="54"/>
      <c r="T21" s="54"/>
      <c r="U21" s="54"/>
      <c r="V21" s="54"/>
      <c r="W21" s="54"/>
      <c r="X21" s="66">
        <f t="shared" si="0"/>
        <v>0.80500000000000005</v>
      </c>
      <c r="Y21" s="45">
        <v>9</v>
      </c>
      <c r="Z21" s="192" t="str">
        <f t="shared" si="1"/>
        <v>S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s="49" customFormat="1">
      <c r="A22" s="53"/>
      <c r="B22" s="290" t="s">
        <v>1276</v>
      </c>
      <c r="C22" s="291">
        <v>1989</v>
      </c>
      <c r="D22" s="66"/>
      <c r="E22" s="60" t="s">
        <v>49</v>
      </c>
      <c r="F22" s="54"/>
      <c r="G22" s="54"/>
      <c r="H22" s="54"/>
      <c r="I22" s="54"/>
      <c r="J22" s="257" t="s">
        <v>1013</v>
      </c>
      <c r="K22" s="257" t="s">
        <v>1002</v>
      </c>
      <c r="L22" s="54"/>
      <c r="M22" s="54"/>
      <c r="N22" s="54"/>
      <c r="O22" s="45" t="s">
        <v>1236</v>
      </c>
      <c r="P22" s="54"/>
      <c r="Q22" s="54"/>
      <c r="R22" s="45">
        <v>0.8</v>
      </c>
      <c r="S22" s="54"/>
      <c r="T22" s="54"/>
      <c r="U22" s="54"/>
      <c r="V22" s="54"/>
      <c r="W22" s="54"/>
      <c r="X22" s="66">
        <f t="shared" si="0"/>
        <v>0.8</v>
      </c>
      <c r="Y22" s="45">
        <v>6.7</v>
      </c>
      <c r="Z22" s="192" t="str">
        <f t="shared" si="1"/>
        <v>S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s="45" customFormat="1">
      <c r="A23" s="53"/>
      <c r="B23" s="290" t="s">
        <v>1276</v>
      </c>
      <c r="C23" s="291">
        <v>1989</v>
      </c>
      <c r="D23" s="66"/>
      <c r="E23" s="60" t="s">
        <v>49</v>
      </c>
      <c r="F23" s="54"/>
      <c r="G23" s="54"/>
      <c r="H23" s="54"/>
      <c r="I23" s="54"/>
      <c r="J23" s="257" t="s">
        <v>1013</v>
      </c>
      <c r="K23" s="257" t="s">
        <v>1002</v>
      </c>
      <c r="L23" s="54"/>
      <c r="M23" s="54"/>
      <c r="N23" s="54"/>
      <c r="O23" s="45" t="s">
        <v>1241</v>
      </c>
      <c r="P23" s="54"/>
      <c r="Q23" s="54"/>
      <c r="R23" s="45">
        <v>0.79400000000000004</v>
      </c>
      <c r="S23" s="54"/>
      <c r="T23" s="54"/>
      <c r="U23" s="54"/>
      <c r="V23" s="54"/>
      <c r="W23" s="54"/>
      <c r="X23" s="66">
        <f t="shared" si="0"/>
        <v>0.79400000000000004</v>
      </c>
      <c r="Y23" s="45">
        <v>4.5999999999999996</v>
      </c>
      <c r="Z23" s="192" t="str">
        <f t="shared" si="1"/>
        <v>S</v>
      </c>
    </row>
    <row r="24" spans="1:39" s="45" customFormat="1">
      <c r="A24" s="53"/>
      <c r="B24" s="290" t="s">
        <v>1276</v>
      </c>
      <c r="C24" s="291">
        <v>1989</v>
      </c>
      <c r="D24" s="66"/>
      <c r="E24" s="60" t="s">
        <v>49</v>
      </c>
      <c r="F24" s="54"/>
      <c r="G24" s="54"/>
      <c r="H24" s="54"/>
      <c r="I24" s="54"/>
      <c r="J24" s="257" t="s">
        <v>1013</v>
      </c>
      <c r="K24" s="257" t="s">
        <v>1002</v>
      </c>
      <c r="L24" s="54"/>
      <c r="M24" s="54"/>
      <c r="N24" s="54"/>
      <c r="O24" s="45" t="s">
        <v>1243</v>
      </c>
      <c r="P24" s="54"/>
      <c r="Q24" s="54"/>
      <c r="R24" s="45">
        <v>0.78900000000000003</v>
      </c>
      <c r="S24" s="54"/>
      <c r="T24" s="54"/>
      <c r="U24" s="54"/>
      <c r="V24" s="54"/>
      <c r="W24" s="54"/>
      <c r="X24" s="66">
        <f t="shared" si="0"/>
        <v>0.78900000000000003</v>
      </c>
      <c r="Y24" s="45">
        <v>7.7</v>
      </c>
      <c r="Z24" s="192" t="str">
        <f t="shared" si="1"/>
        <v>S</v>
      </c>
    </row>
    <row r="25" spans="1:39" s="45" customFormat="1">
      <c r="A25" s="53"/>
      <c r="B25" s="290" t="s">
        <v>1276</v>
      </c>
      <c r="C25" s="291">
        <v>1989</v>
      </c>
      <c r="D25" s="66"/>
      <c r="E25" s="60" t="s">
        <v>49</v>
      </c>
      <c r="F25" s="54"/>
      <c r="G25" s="54"/>
      <c r="H25" s="54"/>
      <c r="I25" s="54"/>
      <c r="J25" s="257" t="s">
        <v>1013</v>
      </c>
      <c r="K25" s="257" t="s">
        <v>1002</v>
      </c>
      <c r="L25" s="54"/>
      <c r="M25" s="54"/>
      <c r="N25" s="54"/>
      <c r="O25" s="45" t="s">
        <v>1238</v>
      </c>
      <c r="P25" s="54"/>
      <c r="Q25" s="54"/>
      <c r="R25" s="45">
        <v>0.78400000000000003</v>
      </c>
      <c r="S25" s="54"/>
      <c r="T25" s="54"/>
      <c r="U25" s="54"/>
      <c r="V25" s="54"/>
      <c r="W25" s="54"/>
      <c r="X25" s="66">
        <f t="shared" si="0"/>
        <v>0.78400000000000003</v>
      </c>
      <c r="Y25" s="45">
        <v>7.2</v>
      </c>
      <c r="Z25" s="192" t="str">
        <f t="shared" si="1"/>
        <v>S</v>
      </c>
    </row>
    <row r="26" spans="1:39" s="45" customFormat="1">
      <c r="A26" s="53"/>
      <c r="B26" s="290" t="s">
        <v>1276</v>
      </c>
      <c r="C26" s="291">
        <v>1989</v>
      </c>
      <c r="D26" s="66"/>
      <c r="E26" s="60" t="s">
        <v>49</v>
      </c>
      <c r="F26" s="54"/>
      <c r="G26" s="54"/>
      <c r="H26" s="54"/>
      <c r="I26" s="54"/>
      <c r="J26" s="257" t="s">
        <v>1013</v>
      </c>
      <c r="K26" s="257" t="s">
        <v>1002</v>
      </c>
      <c r="L26" s="54"/>
      <c r="M26" s="54"/>
      <c r="N26" s="54"/>
      <c r="O26" s="45" t="s">
        <v>1244</v>
      </c>
      <c r="P26" s="54"/>
      <c r="Q26" s="54"/>
      <c r="R26" s="45">
        <v>0.77500000000000002</v>
      </c>
      <c r="S26" s="54"/>
      <c r="T26" s="54"/>
      <c r="U26" s="54"/>
      <c r="V26" s="54"/>
      <c r="W26" s="54"/>
      <c r="X26" s="66">
        <f t="shared" si="0"/>
        <v>0.77500000000000002</v>
      </c>
      <c r="Y26" s="45">
        <v>8</v>
      </c>
      <c r="Z26" s="192" t="str">
        <f t="shared" si="1"/>
        <v>S</v>
      </c>
    </row>
    <row r="27" spans="1:39" s="45" customFormat="1">
      <c r="A27" s="53"/>
      <c r="B27" s="290" t="s">
        <v>1276</v>
      </c>
      <c r="C27" s="291">
        <v>1989</v>
      </c>
      <c r="D27" s="66"/>
      <c r="E27" s="60" t="s">
        <v>49</v>
      </c>
      <c r="F27" s="54"/>
      <c r="G27" s="54"/>
      <c r="H27" s="54"/>
      <c r="I27" s="54"/>
      <c r="J27" s="257" t="s">
        <v>1013</v>
      </c>
      <c r="K27" s="257" t="s">
        <v>1002</v>
      </c>
      <c r="L27" s="54"/>
      <c r="M27" s="54"/>
      <c r="N27" s="54"/>
      <c r="O27" s="45" t="s">
        <v>1242</v>
      </c>
      <c r="P27" s="54"/>
      <c r="Q27" s="54"/>
      <c r="R27" s="45">
        <v>0.77500000000000002</v>
      </c>
      <c r="S27" s="54"/>
      <c r="T27" s="54"/>
      <c r="U27" s="54"/>
      <c r="V27" s="54"/>
      <c r="W27" s="54"/>
      <c r="X27" s="66">
        <f t="shared" si="0"/>
        <v>0.77500000000000002</v>
      </c>
      <c r="Y27" s="45">
        <v>10.5</v>
      </c>
      <c r="Z27" s="192" t="str">
        <f t="shared" si="1"/>
        <v>S</v>
      </c>
    </row>
    <row r="28" spans="1:39" s="45" customFormat="1">
      <c r="A28" s="53"/>
      <c r="B28" s="290" t="s">
        <v>1276</v>
      </c>
      <c r="C28" s="291">
        <v>1989</v>
      </c>
      <c r="D28" s="66"/>
      <c r="E28" s="60" t="s">
        <v>49</v>
      </c>
      <c r="F28" s="54"/>
      <c r="G28" s="54"/>
      <c r="H28" s="54"/>
      <c r="I28" s="54"/>
      <c r="J28" s="257" t="s">
        <v>1013</v>
      </c>
      <c r="K28" s="257" t="s">
        <v>1002</v>
      </c>
      <c r="L28" s="54"/>
      <c r="M28" s="54"/>
      <c r="N28" s="54"/>
      <c r="O28" s="45" t="s">
        <v>1237</v>
      </c>
      <c r="P28" s="54"/>
      <c r="Q28" s="54"/>
      <c r="R28" s="45">
        <v>0.77</v>
      </c>
      <c r="S28" s="54"/>
      <c r="T28" s="54"/>
      <c r="U28" s="54"/>
      <c r="V28" s="54"/>
      <c r="W28" s="54"/>
      <c r="X28" s="66">
        <f t="shared" si="0"/>
        <v>0.77</v>
      </c>
      <c r="Y28" s="45">
        <v>7.8</v>
      </c>
      <c r="Z28" s="192" t="str">
        <f t="shared" si="1"/>
        <v>S</v>
      </c>
    </row>
    <row r="29" spans="1:39" s="45" customFormat="1">
      <c r="A29" s="53"/>
      <c r="B29" s="290" t="s">
        <v>1276</v>
      </c>
      <c r="C29" s="291">
        <v>1989</v>
      </c>
      <c r="D29" s="66"/>
      <c r="E29" s="60" t="s">
        <v>49</v>
      </c>
      <c r="F29" s="54"/>
      <c r="G29" s="54"/>
      <c r="H29" s="54"/>
      <c r="I29" s="54"/>
      <c r="J29" s="257" t="s">
        <v>1013</v>
      </c>
      <c r="K29" s="257" t="s">
        <v>1002</v>
      </c>
      <c r="L29" s="54"/>
      <c r="M29" s="54"/>
      <c r="N29" s="54"/>
      <c r="O29" s="45" t="s">
        <v>1245</v>
      </c>
      <c r="P29" s="54"/>
      <c r="Q29" s="54"/>
      <c r="R29" s="45">
        <v>0.73</v>
      </c>
      <c r="S29" s="54"/>
      <c r="T29" s="54"/>
      <c r="U29" s="54"/>
      <c r="V29" s="54"/>
      <c r="W29" s="54"/>
      <c r="X29" s="66">
        <f t="shared" si="0"/>
        <v>0.73</v>
      </c>
      <c r="Y29" s="45">
        <v>6.6</v>
      </c>
      <c r="Z29" s="192" t="str">
        <f t="shared" si="1"/>
        <v>S</v>
      </c>
    </row>
    <row r="30" spans="1:39" s="45" customFormat="1">
      <c r="A30" s="53"/>
      <c r="B30" s="290" t="s">
        <v>1276</v>
      </c>
      <c r="C30" s="291">
        <v>1989</v>
      </c>
      <c r="D30" s="66"/>
      <c r="E30" s="60" t="s">
        <v>49</v>
      </c>
      <c r="F30" s="54"/>
      <c r="G30" s="54"/>
      <c r="H30" s="54"/>
      <c r="I30" s="54"/>
      <c r="J30" s="257" t="s">
        <v>1013</v>
      </c>
      <c r="K30" s="257" t="s">
        <v>1002</v>
      </c>
      <c r="L30" s="54"/>
      <c r="M30" s="54"/>
      <c r="N30" s="54"/>
      <c r="O30" s="45" t="s">
        <v>1246</v>
      </c>
      <c r="P30" s="54"/>
      <c r="Q30" s="54"/>
      <c r="R30" s="45">
        <v>0.72899999999999998</v>
      </c>
      <c r="S30" s="54"/>
      <c r="T30" s="54"/>
      <c r="U30" s="54"/>
      <c r="V30" s="54"/>
      <c r="W30" s="54"/>
      <c r="X30" s="66">
        <f t="shared" si="0"/>
        <v>0.72899999999999998</v>
      </c>
      <c r="Y30" s="45">
        <v>9.1</v>
      </c>
      <c r="Z30" s="192" t="str">
        <f t="shared" si="1"/>
        <v>S</v>
      </c>
    </row>
    <row r="31" spans="1:39" s="45" customFormat="1">
      <c r="A31" s="53"/>
      <c r="B31" s="290" t="s">
        <v>1276</v>
      </c>
      <c r="C31" s="291">
        <v>1989</v>
      </c>
      <c r="D31" s="66"/>
      <c r="E31" s="60" t="s">
        <v>49</v>
      </c>
      <c r="F31" s="54"/>
      <c r="G31" s="54"/>
      <c r="H31" s="54"/>
      <c r="I31" s="54"/>
      <c r="J31" s="257" t="s">
        <v>1013</v>
      </c>
      <c r="K31" s="257" t="s">
        <v>1002</v>
      </c>
      <c r="L31" s="54"/>
      <c r="M31" s="54"/>
      <c r="N31" s="54"/>
      <c r="O31" s="45" t="s">
        <v>1239</v>
      </c>
      <c r="P31" s="54"/>
      <c r="Q31" s="54"/>
      <c r="R31" s="45">
        <v>0.64300000000000002</v>
      </c>
      <c r="S31" s="54"/>
      <c r="T31" s="54"/>
      <c r="U31" s="54"/>
      <c r="V31" s="54"/>
      <c r="W31" s="54"/>
      <c r="X31" s="66">
        <f t="shared" si="0"/>
        <v>0.64300000000000002</v>
      </c>
      <c r="Y31" s="45">
        <v>1.8</v>
      </c>
      <c r="Z31" s="192" t="str">
        <f t="shared" si="1"/>
        <v>S</v>
      </c>
    </row>
    <row r="32" spans="1:39" s="107" customFormat="1">
      <c r="A32" s="101"/>
      <c r="B32" s="123" t="s">
        <v>766</v>
      </c>
      <c r="C32" s="98">
        <v>2013</v>
      </c>
      <c r="D32" s="101"/>
      <c r="E32" s="99" t="s">
        <v>172</v>
      </c>
      <c r="F32" s="98">
        <v>2011</v>
      </c>
      <c r="G32" s="98" t="s">
        <v>631</v>
      </c>
      <c r="H32" s="101" t="s">
        <v>159</v>
      </c>
      <c r="I32" s="101" t="s">
        <v>1014</v>
      </c>
      <c r="J32" s="115" t="s">
        <v>1013</v>
      </c>
      <c r="K32" s="98" t="s">
        <v>1091</v>
      </c>
      <c r="L32" s="98" t="s">
        <v>974</v>
      </c>
      <c r="M32" s="101"/>
      <c r="N32" s="101"/>
      <c r="O32" s="101" t="s">
        <v>972</v>
      </c>
      <c r="P32" s="101"/>
      <c r="Q32" s="101"/>
      <c r="R32" s="101"/>
      <c r="S32" s="101"/>
      <c r="T32" s="101"/>
      <c r="U32" s="98">
        <v>0.92300000000000004</v>
      </c>
      <c r="V32" s="101"/>
      <c r="W32" s="101"/>
      <c r="X32" s="101">
        <f t="shared" si="0"/>
        <v>0.92300000000000004</v>
      </c>
      <c r="Y32" s="111">
        <v>4.4000000000000004</v>
      </c>
      <c r="Z32" s="106" t="str">
        <f t="shared" si="1"/>
        <v>F</v>
      </c>
      <c r="AA32" s="150"/>
      <c r="AB32" s="150" t="s">
        <v>1206</v>
      </c>
      <c r="AC32" s="150" t="s">
        <v>1207</v>
      </c>
      <c r="AD32" s="150" t="s">
        <v>1208</v>
      </c>
      <c r="AE32" s="150" t="s">
        <v>1209</v>
      </c>
      <c r="AF32" s="150" t="s">
        <v>1210</v>
      </c>
      <c r="AG32" s="150" t="s">
        <v>1211</v>
      </c>
    </row>
    <row r="33" spans="1:33" s="107" customFormat="1">
      <c r="A33" s="97">
        <v>174</v>
      </c>
      <c r="B33" s="98" t="s">
        <v>697</v>
      </c>
      <c r="C33" s="98">
        <v>2009</v>
      </c>
      <c r="D33" s="108" t="s">
        <v>698</v>
      </c>
      <c r="E33" s="99" t="s">
        <v>20</v>
      </c>
      <c r="F33" s="100" t="s">
        <v>701</v>
      </c>
      <c r="G33" s="98" t="s">
        <v>705</v>
      </c>
      <c r="H33" s="98" t="s">
        <v>159</v>
      </c>
      <c r="I33" s="98"/>
      <c r="J33" s="101" t="s">
        <v>1013</v>
      </c>
      <c r="K33" s="98" t="s">
        <v>1091</v>
      </c>
      <c r="L33" s="98" t="s">
        <v>725</v>
      </c>
      <c r="M33" s="109"/>
      <c r="N33" s="109"/>
      <c r="O33" s="98" t="s">
        <v>725</v>
      </c>
      <c r="P33" s="103"/>
      <c r="Q33" s="103"/>
      <c r="R33" s="98"/>
      <c r="S33" s="98"/>
      <c r="T33" s="98"/>
      <c r="U33" s="104">
        <v>0.92</v>
      </c>
      <c r="V33" s="104"/>
      <c r="W33" s="104"/>
      <c r="X33" s="101">
        <f t="shared" si="0"/>
        <v>0.92</v>
      </c>
      <c r="Y33" s="110">
        <v>4.2</v>
      </c>
      <c r="Z33" s="106" t="str">
        <f t="shared" si="1"/>
        <v>F</v>
      </c>
      <c r="AA33" s="243" t="s">
        <v>1319</v>
      </c>
      <c r="AB33" s="151">
        <f>AVERAGE($Y$32:$Y$45)</f>
        <v>5.2528571428571436</v>
      </c>
      <c r="AC33" s="151">
        <f>MEDIAN($Y$32:$Y$45)</f>
        <v>5.39</v>
      </c>
      <c r="AD33" s="151">
        <f>MAX($Y$32:$Y$45)</f>
        <v>6.32</v>
      </c>
      <c r="AE33" s="151">
        <f>MIN($Y$32:$Y$45)</f>
        <v>3.7</v>
      </c>
      <c r="AF33" s="151">
        <f>STDEV($Y$32:$Y$45)</f>
        <v>0.81165006263526285</v>
      </c>
      <c r="AG33" s="150">
        <f>COUNT($Y$32:$Y$45)</f>
        <v>14</v>
      </c>
    </row>
    <row r="34" spans="1:33" s="107" customFormat="1">
      <c r="A34" s="101"/>
      <c r="B34" s="123" t="s">
        <v>766</v>
      </c>
      <c r="C34" s="98">
        <v>2013</v>
      </c>
      <c r="D34" s="101"/>
      <c r="E34" s="99" t="s">
        <v>172</v>
      </c>
      <c r="F34" s="98">
        <v>2011</v>
      </c>
      <c r="G34" s="98" t="s">
        <v>631</v>
      </c>
      <c r="H34" s="101" t="s">
        <v>159</v>
      </c>
      <c r="I34" s="101" t="s">
        <v>1014</v>
      </c>
      <c r="J34" s="115" t="s">
        <v>1013</v>
      </c>
      <c r="K34" s="98" t="s">
        <v>1091</v>
      </c>
      <c r="L34" s="98" t="s">
        <v>978</v>
      </c>
      <c r="M34" s="101"/>
      <c r="N34" s="101"/>
      <c r="O34" s="101" t="s">
        <v>977</v>
      </c>
      <c r="P34" s="101"/>
      <c r="Q34" s="101"/>
      <c r="R34" s="101"/>
      <c r="S34" s="101"/>
      <c r="T34" s="101"/>
      <c r="U34" s="98">
        <v>0.91800000000000004</v>
      </c>
      <c r="V34" s="101"/>
      <c r="W34" s="101"/>
      <c r="X34" s="101">
        <f t="shared" ref="X34:X65" si="2">IF(R34&lt;&gt;0,IF(R34&gt;1,R34/100,R34),IF(U34&lt;&gt;0,IF(U34&gt;1,U34/100,U34),""))</f>
        <v>0.91800000000000004</v>
      </c>
      <c r="Y34" s="111">
        <v>4.95</v>
      </c>
      <c r="Z34" s="106" t="str">
        <f t="shared" ref="Z34:Z65" si="3">IF(X34&lt;&gt;"",IF(X34&lt;0.9,"S","F"),"")</f>
        <v>F</v>
      </c>
      <c r="AA34" s="243" t="s">
        <v>1320</v>
      </c>
      <c r="AB34" s="151">
        <f>AVERAGE($Y$46:$Y$87)</f>
        <v>7.6673809523809506</v>
      </c>
      <c r="AC34" s="151">
        <f>MEDIAN($Y$46:$Y$87)</f>
        <v>7.5150000000000006</v>
      </c>
      <c r="AD34" s="151">
        <f>MAX($Y$46:$Y$87)</f>
        <v>12.09</v>
      </c>
      <c r="AE34" s="151">
        <f>MIN($Y$46:$Y$87)</f>
        <v>6.2</v>
      </c>
      <c r="AF34" s="151">
        <f>STDEV($Y$46:$Y$87)</f>
        <v>1.1676389759531596</v>
      </c>
      <c r="AG34" s="150">
        <f>COUNT($Y$46:$Y$87)</f>
        <v>42</v>
      </c>
    </row>
    <row r="35" spans="1:33" s="107" customFormat="1">
      <c r="A35" s="101"/>
      <c r="B35" s="123" t="s">
        <v>766</v>
      </c>
      <c r="C35" s="98">
        <v>2013</v>
      </c>
      <c r="D35" s="101"/>
      <c r="E35" s="99" t="s">
        <v>172</v>
      </c>
      <c r="F35" s="98">
        <v>2011</v>
      </c>
      <c r="G35" s="98" t="s">
        <v>631</v>
      </c>
      <c r="H35" s="101" t="s">
        <v>159</v>
      </c>
      <c r="I35" s="101" t="s">
        <v>1014</v>
      </c>
      <c r="J35" s="115" t="s">
        <v>1013</v>
      </c>
      <c r="K35" s="98" t="s">
        <v>1091</v>
      </c>
      <c r="L35" s="98" t="s">
        <v>975</v>
      </c>
      <c r="M35" s="101"/>
      <c r="N35" s="101"/>
      <c r="O35" s="101" t="s">
        <v>976</v>
      </c>
      <c r="P35" s="101"/>
      <c r="Q35" s="101"/>
      <c r="R35" s="101"/>
      <c r="S35" s="101"/>
      <c r="T35" s="101"/>
      <c r="U35" s="98">
        <v>0.91600000000000004</v>
      </c>
      <c r="V35" s="101"/>
      <c r="W35" s="101"/>
      <c r="X35" s="101">
        <f t="shared" si="2"/>
        <v>0.91600000000000004</v>
      </c>
      <c r="Y35" s="111">
        <v>4.5</v>
      </c>
      <c r="Z35" s="106" t="str">
        <f t="shared" si="3"/>
        <v>F</v>
      </c>
      <c r="AA35" s="107" t="s">
        <v>1338</v>
      </c>
    </row>
    <row r="36" spans="1:33" s="107" customFormat="1">
      <c r="A36" s="97">
        <v>174</v>
      </c>
      <c r="B36" s="98" t="s">
        <v>697</v>
      </c>
      <c r="C36" s="98">
        <v>2009</v>
      </c>
      <c r="D36" s="108" t="s">
        <v>698</v>
      </c>
      <c r="E36" s="99" t="s">
        <v>20</v>
      </c>
      <c r="F36" s="100" t="s">
        <v>701</v>
      </c>
      <c r="G36" s="98" t="s">
        <v>705</v>
      </c>
      <c r="H36" s="98" t="s">
        <v>159</v>
      </c>
      <c r="I36" s="98"/>
      <c r="J36" s="101" t="s">
        <v>1013</v>
      </c>
      <c r="K36" s="98" t="s">
        <v>1091</v>
      </c>
      <c r="L36" s="98" t="s">
        <v>712</v>
      </c>
      <c r="M36" s="109"/>
      <c r="N36" s="109"/>
      <c r="O36" s="98" t="s">
        <v>713</v>
      </c>
      <c r="P36" s="103"/>
      <c r="Q36" s="103"/>
      <c r="R36" s="98"/>
      <c r="S36" s="98"/>
      <c r="T36" s="98"/>
      <c r="U36" s="104">
        <v>0.91500000000000004</v>
      </c>
      <c r="V36" s="104"/>
      <c r="W36" s="104"/>
      <c r="X36" s="101">
        <f t="shared" si="2"/>
        <v>0.91500000000000004</v>
      </c>
      <c r="Y36" s="110">
        <v>3.7</v>
      </c>
      <c r="Z36" s="106" t="str">
        <f t="shared" si="3"/>
        <v>F</v>
      </c>
    </row>
    <row r="37" spans="1:33" s="107" customFormat="1">
      <c r="A37" s="101"/>
      <c r="B37" s="123" t="s">
        <v>766</v>
      </c>
      <c r="C37" s="98">
        <v>2013</v>
      </c>
      <c r="D37" s="101"/>
      <c r="E37" s="99" t="s">
        <v>172</v>
      </c>
      <c r="F37" s="98">
        <v>2011</v>
      </c>
      <c r="G37" s="98" t="s">
        <v>631</v>
      </c>
      <c r="H37" s="101" t="s">
        <v>159</v>
      </c>
      <c r="I37" s="101" t="s">
        <v>1014</v>
      </c>
      <c r="J37" s="115" t="s">
        <v>1013</v>
      </c>
      <c r="K37" s="98" t="s">
        <v>1091</v>
      </c>
      <c r="L37" s="98" t="s">
        <v>975</v>
      </c>
      <c r="M37" s="101"/>
      <c r="N37" s="101"/>
      <c r="O37" s="101" t="s">
        <v>976</v>
      </c>
      <c r="P37" s="101"/>
      <c r="Q37" s="101"/>
      <c r="R37" s="101"/>
      <c r="S37" s="101"/>
      <c r="T37" s="101"/>
      <c r="U37" s="98">
        <v>0.90400000000000003</v>
      </c>
      <c r="V37" s="101"/>
      <c r="W37" s="101"/>
      <c r="X37" s="101">
        <f t="shared" si="2"/>
        <v>0.90400000000000003</v>
      </c>
      <c r="Y37" s="111">
        <v>6.32</v>
      </c>
      <c r="Z37" s="106" t="str">
        <f t="shared" si="3"/>
        <v>F</v>
      </c>
    </row>
    <row r="38" spans="1:33" s="107" customFormat="1">
      <c r="A38" s="101"/>
      <c r="B38" s="123" t="s">
        <v>766</v>
      </c>
      <c r="C38" s="98">
        <v>2013</v>
      </c>
      <c r="D38" s="101"/>
      <c r="E38" s="99" t="s">
        <v>172</v>
      </c>
      <c r="F38" s="98">
        <v>2011</v>
      </c>
      <c r="G38" s="98" t="s">
        <v>631</v>
      </c>
      <c r="H38" s="101" t="s">
        <v>159</v>
      </c>
      <c r="I38" s="101" t="s">
        <v>1014</v>
      </c>
      <c r="J38" s="115" t="s">
        <v>1013</v>
      </c>
      <c r="K38" s="98" t="s">
        <v>1091</v>
      </c>
      <c r="L38" s="98" t="s">
        <v>975</v>
      </c>
      <c r="M38" s="101"/>
      <c r="N38" s="101"/>
      <c r="O38" s="101" t="s">
        <v>976</v>
      </c>
      <c r="P38" s="101"/>
      <c r="Q38" s="101"/>
      <c r="R38" s="101"/>
      <c r="S38" s="101"/>
      <c r="T38" s="101"/>
      <c r="U38" s="98">
        <v>0.90300000000000002</v>
      </c>
      <c r="V38" s="101"/>
      <c r="W38" s="101"/>
      <c r="X38" s="101">
        <f t="shared" si="2"/>
        <v>0.90300000000000002</v>
      </c>
      <c r="Y38" s="111">
        <v>5.27</v>
      </c>
      <c r="Z38" s="106" t="str">
        <f t="shared" si="3"/>
        <v>F</v>
      </c>
    </row>
    <row r="39" spans="1:33" s="107" customFormat="1">
      <c r="A39" s="101"/>
      <c r="B39" s="123" t="s">
        <v>766</v>
      </c>
      <c r="C39" s="98">
        <v>2013</v>
      </c>
      <c r="D39" s="101"/>
      <c r="E39" s="99" t="s">
        <v>172</v>
      </c>
      <c r="F39" s="98">
        <v>2011</v>
      </c>
      <c r="G39" s="98" t="s">
        <v>631</v>
      </c>
      <c r="H39" s="101" t="s">
        <v>159</v>
      </c>
      <c r="I39" s="101" t="s">
        <v>1014</v>
      </c>
      <c r="J39" s="115" t="s">
        <v>1013</v>
      </c>
      <c r="K39" s="98" t="s">
        <v>1091</v>
      </c>
      <c r="L39" s="98" t="s">
        <v>974</v>
      </c>
      <c r="M39" s="101"/>
      <c r="N39" s="101"/>
      <c r="O39" s="101" t="s">
        <v>972</v>
      </c>
      <c r="P39" s="101"/>
      <c r="Q39" s="101"/>
      <c r="R39" s="101"/>
      <c r="S39" s="101"/>
      <c r="T39" s="101"/>
      <c r="U39" s="98">
        <v>0.90300000000000002</v>
      </c>
      <c r="V39" s="101"/>
      <c r="W39" s="101"/>
      <c r="X39" s="101">
        <f t="shared" si="2"/>
        <v>0.90300000000000002</v>
      </c>
      <c r="Y39" s="111">
        <v>5.51</v>
      </c>
      <c r="Z39" s="106" t="str">
        <f t="shared" si="3"/>
        <v>F</v>
      </c>
    </row>
    <row r="40" spans="1:33" s="107" customFormat="1">
      <c r="A40" s="101"/>
      <c r="B40" s="123" t="s">
        <v>766</v>
      </c>
      <c r="C40" s="98">
        <v>2013</v>
      </c>
      <c r="D40" s="101"/>
      <c r="E40" s="99" t="s">
        <v>172</v>
      </c>
      <c r="F40" s="98">
        <v>2011</v>
      </c>
      <c r="G40" s="98" t="s">
        <v>631</v>
      </c>
      <c r="H40" s="101" t="s">
        <v>159</v>
      </c>
      <c r="I40" s="101" t="s">
        <v>1014</v>
      </c>
      <c r="J40" s="115" t="s">
        <v>1013</v>
      </c>
      <c r="K40" s="98" t="s">
        <v>1091</v>
      </c>
      <c r="L40" s="98" t="s">
        <v>975</v>
      </c>
      <c r="M40" s="101"/>
      <c r="N40" s="101"/>
      <c r="O40" s="101" t="s">
        <v>976</v>
      </c>
      <c r="P40" s="101"/>
      <c r="Q40" s="101"/>
      <c r="R40" s="101"/>
      <c r="S40" s="101"/>
      <c r="T40" s="101"/>
      <c r="U40" s="98">
        <v>0.90200000000000002</v>
      </c>
      <c r="V40" s="101"/>
      <c r="W40" s="101"/>
      <c r="X40" s="101">
        <f t="shared" si="2"/>
        <v>0.90200000000000002</v>
      </c>
      <c r="Y40" s="111">
        <v>5.15</v>
      </c>
      <c r="Z40" s="106" t="str">
        <f t="shared" si="3"/>
        <v>F</v>
      </c>
    </row>
    <row r="41" spans="1:33" s="107" customFormat="1">
      <c r="A41" s="101"/>
      <c r="B41" s="123" t="s">
        <v>766</v>
      </c>
      <c r="C41" s="98">
        <v>2013</v>
      </c>
      <c r="D41" s="101"/>
      <c r="E41" s="99" t="s">
        <v>172</v>
      </c>
      <c r="F41" s="98">
        <v>2011</v>
      </c>
      <c r="G41" s="98" t="s">
        <v>631</v>
      </c>
      <c r="H41" s="101" t="s">
        <v>159</v>
      </c>
      <c r="I41" s="101" t="s">
        <v>1014</v>
      </c>
      <c r="J41" s="115" t="s">
        <v>1013</v>
      </c>
      <c r="K41" s="98" t="s">
        <v>1091</v>
      </c>
      <c r="L41" s="98" t="s">
        <v>978</v>
      </c>
      <c r="M41" s="101"/>
      <c r="N41" s="101"/>
      <c r="O41" s="101" t="s">
        <v>977</v>
      </c>
      <c r="P41" s="101"/>
      <c r="Q41" s="101"/>
      <c r="R41" s="101"/>
      <c r="S41" s="101"/>
      <c r="T41" s="101"/>
      <c r="U41" s="98">
        <v>0.90200000000000002</v>
      </c>
      <c r="V41" s="101"/>
      <c r="W41" s="101"/>
      <c r="X41" s="101">
        <f t="shared" si="2"/>
        <v>0.90200000000000002</v>
      </c>
      <c r="Y41" s="111">
        <v>5.68</v>
      </c>
      <c r="Z41" s="106" t="str">
        <f t="shared" si="3"/>
        <v>F</v>
      </c>
    </row>
    <row r="42" spans="1:33" s="107" customFormat="1">
      <c r="A42" s="101"/>
      <c r="B42" s="123" t="s">
        <v>766</v>
      </c>
      <c r="C42" s="98">
        <v>2013</v>
      </c>
      <c r="D42" s="101"/>
      <c r="E42" s="99" t="s">
        <v>172</v>
      </c>
      <c r="F42" s="98">
        <v>2011</v>
      </c>
      <c r="G42" s="98" t="s">
        <v>631</v>
      </c>
      <c r="H42" s="101" t="s">
        <v>159</v>
      </c>
      <c r="I42" s="101" t="s">
        <v>1014</v>
      </c>
      <c r="J42" s="115" t="s">
        <v>1013</v>
      </c>
      <c r="K42" s="98" t="s">
        <v>1091</v>
      </c>
      <c r="L42" s="98" t="s">
        <v>974</v>
      </c>
      <c r="M42" s="101"/>
      <c r="N42" s="101"/>
      <c r="O42" s="101" t="s">
        <v>972</v>
      </c>
      <c r="P42" s="101"/>
      <c r="Q42" s="101"/>
      <c r="R42" s="101"/>
      <c r="S42" s="101"/>
      <c r="T42" s="101"/>
      <c r="U42" s="98">
        <v>0.90100000000000002</v>
      </c>
      <c r="V42" s="101"/>
      <c r="W42" s="101"/>
      <c r="X42" s="101">
        <f t="shared" si="2"/>
        <v>0.90100000000000002</v>
      </c>
      <c r="Y42" s="111">
        <v>5.87</v>
      </c>
      <c r="Z42" s="106" t="str">
        <f t="shared" si="3"/>
        <v>F</v>
      </c>
    </row>
    <row r="43" spans="1:33" s="107" customFormat="1">
      <c r="A43" s="101"/>
      <c r="B43" s="123" t="s">
        <v>766</v>
      </c>
      <c r="C43" s="98">
        <v>2013</v>
      </c>
      <c r="D43" s="101"/>
      <c r="E43" s="99" t="s">
        <v>172</v>
      </c>
      <c r="F43" s="98">
        <v>2011</v>
      </c>
      <c r="G43" s="98" t="s">
        <v>631</v>
      </c>
      <c r="H43" s="101" t="s">
        <v>159</v>
      </c>
      <c r="I43" s="101" t="s">
        <v>1014</v>
      </c>
      <c r="J43" s="115" t="s">
        <v>1013</v>
      </c>
      <c r="K43" s="98" t="s">
        <v>1091</v>
      </c>
      <c r="L43" s="98" t="s">
        <v>974</v>
      </c>
      <c r="M43" s="101"/>
      <c r="N43" s="101"/>
      <c r="O43" s="101" t="s">
        <v>972</v>
      </c>
      <c r="P43" s="101"/>
      <c r="Q43" s="101"/>
      <c r="R43" s="101"/>
      <c r="S43" s="101"/>
      <c r="T43" s="101"/>
      <c r="U43" s="98">
        <v>0.90100000000000002</v>
      </c>
      <c r="V43" s="101"/>
      <c r="W43" s="101"/>
      <c r="X43" s="101">
        <f t="shared" si="2"/>
        <v>0.90100000000000002</v>
      </c>
      <c r="Y43" s="111">
        <v>6.03</v>
      </c>
      <c r="Z43" s="106" t="str">
        <f t="shared" si="3"/>
        <v>F</v>
      </c>
    </row>
    <row r="44" spans="1:33" s="107" customFormat="1">
      <c r="A44" s="101"/>
      <c r="B44" s="123" t="s">
        <v>766</v>
      </c>
      <c r="C44" s="98">
        <v>2013</v>
      </c>
      <c r="D44" s="101"/>
      <c r="E44" s="99" t="s">
        <v>172</v>
      </c>
      <c r="F44" s="98">
        <v>2011</v>
      </c>
      <c r="G44" s="98" t="s">
        <v>631</v>
      </c>
      <c r="H44" s="101" t="s">
        <v>159</v>
      </c>
      <c r="I44" s="101" t="s">
        <v>1014</v>
      </c>
      <c r="J44" s="115" t="s">
        <v>1013</v>
      </c>
      <c r="K44" s="98" t="s">
        <v>1091</v>
      </c>
      <c r="L44" s="98" t="s">
        <v>975</v>
      </c>
      <c r="M44" s="101"/>
      <c r="N44" s="101"/>
      <c r="O44" s="101" t="s">
        <v>976</v>
      </c>
      <c r="P44" s="101"/>
      <c r="Q44" s="101"/>
      <c r="R44" s="101"/>
      <c r="S44" s="101"/>
      <c r="T44" s="101"/>
      <c r="U44" s="98">
        <v>0.90100000000000002</v>
      </c>
      <c r="V44" s="101"/>
      <c r="W44" s="101"/>
      <c r="X44" s="101">
        <f t="shared" si="2"/>
        <v>0.90100000000000002</v>
      </c>
      <c r="Y44" s="111">
        <v>6.31</v>
      </c>
      <c r="Z44" s="106" t="str">
        <f t="shared" si="3"/>
        <v>F</v>
      </c>
    </row>
    <row r="45" spans="1:33" s="107" customFormat="1">
      <c r="A45" s="101"/>
      <c r="B45" s="123" t="s">
        <v>766</v>
      </c>
      <c r="C45" s="98">
        <v>2013</v>
      </c>
      <c r="D45" s="101"/>
      <c r="E45" s="99" t="s">
        <v>172</v>
      </c>
      <c r="F45" s="98">
        <v>2011</v>
      </c>
      <c r="G45" s="98" t="s">
        <v>631</v>
      </c>
      <c r="H45" s="101" t="s">
        <v>159</v>
      </c>
      <c r="I45" s="101" t="s">
        <v>1014</v>
      </c>
      <c r="J45" s="115" t="s">
        <v>1013</v>
      </c>
      <c r="K45" s="98" t="s">
        <v>1091</v>
      </c>
      <c r="L45" s="98" t="s">
        <v>974</v>
      </c>
      <c r="M45" s="101"/>
      <c r="N45" s="101"/>
      <c r="O45" s="101" t="s">
        <v>972</v>
      </c>
      <c r="P45" s="101"/>
      <c r="Q45" s="101"/>
      <c r="R45" s="101"/>
      <c r="S45" s="101"/>
      <c r="T45" s="101"/>
      <c r="U45" s="98">
        <v>0.9</v>
      </c>
      <c r="V45" s="101"/>
      <c r="W45" s="101"/>
      <c r="X45" s="101">
        <f t="shared" si="2"/>
        <v>0.9</v>
      </c>
      <c r="Y45" s="111">
        <v>5.65</v>
      </c>
      <c r="Z45" s="106" t="str">
        <f t="shared" si="3"/>
        <v>F</v>
      </c>
    </row>
    <row r="46" spans="1:33" s="107" customFormat="1">
      <c r="A46" s="101"/>
      <c r="B46" s="123" t="s">
        <v>766</v>
      </c>
      <c r="C46" s="98">
        <v>2013</v>
      </c>
      <c r="D46" s="101"/>
      <c r="E46" s="99" t="s">
        <v>172</v>
      </c>
      <c r="F46" s="98">
        <v>2011</v>
      </c>
      <c r="G46" s="98" t="s">
        <v>631</v>
      </c>
      <c r="H46" s="101" t="s">
        <v>159</v>
      </c>
      <c r="I46" s="101" t="s">
        <v>1014</v>
      </c>
      <c r="J46" s="115" t="s">
        <v>1013</v>
      </c>
      <c r="K46" s="98" t="s">
        <v>1091</v>
      </c>
      <c r="L46" s="98" t="s">
        <v>975</v>
      </c>
      <c r="M46" s="101"/>
      <c r="N46" s="101"/>
      <c r="O46" s="101" t="s">
        <v>976</v>
      </c>
      <c r="P46" s="101"/>
      <c r="Q46" s="101"/>
      <c r="R46" s="101"/>
      <c r="S46" s="101"/>
      <c r="T46" s="101"/>
      <c r="U46" s="98">
        <v>0.89900000000000002</v>
      </c>
      <c r="V46" s="101"/>
      <c r="W46" s="101"/>
      <c r="X46" s="101">
        <f t="shared" si="2"/>
        <v>0.89900000000000002</v>
      </c>
      <c r="Y46" s="111">
        <v>6.28</v>
      </c>
      <c r="Z46" s="106" t="str">
        <f t="shared" si="3"/>
        <v>S</v>
      </c>
    </row>
    <row r="47" spans="1:33" s="107" customFormat="1">
      <c r="A47" s="101"/>
      <c r="B47" s="123" t="s">
        <v>766</v>
      </c>
      <c r="C47" s="98">
        <v>2013</v>
      </c>
      <c r="D47" s="101"/>
      <c r="E47" s="99" t="s">
        <v>172</v>
      </c>
      <c r="F47" s="98">
        <v>2011</v>
      </c>
      <c r="G47" s="98" t="s">
        <v>631</v>
      </c>
      <c r="H47" s="101" t="s">
        <v>159</v>
      </c>
      <c r="I47" s="101" t="s">
        <v>1014</v>
      </c>
      <c r="J47" s="115" t="s">
        <v>1013</v>
      </c>
      <c r="K47" s="98" t="s">
        <v>1091</v>
      </c>
      <c r="L47" s="98" t="s">
        <v>974</v>
      </c>
      <c r="M47" s="101"/>
      <c r="N47" s="101"/>
      <c r="O47" s="101" t="s">
        <v>972</v>
      </c>
      <c r="P47" s="101"/>
      <c r="Q47" s="101"/>
      <c r="R47" s="101"/>
      <c r="S47" s="101"/>
      <c r="T47" s="101"/>
      <c r="U47" s="98">
        <v>0.89800000000000002</v>
      </c>
      <c r="V47" s="101"/>
      <c r="W47" s="101"/>
      <c r="X47" s="101">
        <f t="shared" si="2"/>
        <v>0.89800000000000002</v>
      </c>
      <c r="Y47" s="111">
        <v>6.55</v>
      </c>
      <c r="Z47" s="106" t="str">
        <f t="shared" si="3"/>
        <v>S</v>
      </c>
    </row>
    <row r="48" spans="1:33" s="107" customFormat="1">
      <c r="A48" s="101"/>
      <c r="B48" s="123" t="s">
        <v>766</v>
      </c>
      <c r="C48" s="98">
        <v>2013</v>
      </c>
      <c r="D48" s="101"/>
      <c r="E48" s="99" t="s">
        <v>172</v>
      </c>
      <c r="F48" s="98">
        <v>2011</v>
      </c>
      <c r="G48" s="98" t="s">
        <v>631</v>
      </c>
      <c r="H48" s="101" t="s">
        <v>159</v>
      </c>
      <c r="I48" s="101" t="s">
        <v>1014</v>
      </c>
      <c r="J48" s="115" t="s">
        <v>1013</v>
      </c>
      <c r="K48" s="98" t="s">
        <v>1091</v>
      </c>
      <c r="L48" s="98" t="s">
        <v>978</v>
      </c>
      <c r="M48" s="101"/>
      <c r="N48" s="101"/>
      <c r="O48" s="101" t="s">
        <v>977</v>
      </c>
      <c r="P48" s="101"/>
      <c r="Q48" s="101"/>
      <c r="R48" s="101"/>
      <c r="S48" s="101"/>
      <c r="T48" s="101"/>
      <c r="U48" s="98">
        <v>0.89700000000000002</v>
      </c>
      <c r="V48" s="101"/>
      <c r="W48" s="101"/>
      <c r="X48" s="101">
        <f t="shared" si="2"/>
        <v>0.89700000000000002</v>
      </c>
      <c r="Y48" s="111">
        <v>6.2</v>
      </c>
      <c r="Z48" s="106" t="str">
        <f t="shared" si="3"/>
        <v>S</v>
      </c>
    </row>
    <row r="49" spans="1:26" s="107" customFormat="1">
      <c r="A49" s="101"/>
      <c r="B49" s="123" t="s">
        <v>766</v>
      </c>
      <c r="C49" s="98">
        <v>2013</v>
      </c>
      <c r="D49" s="101"/>
      <c r="E49" s="99" t="s">
        <v>172</v>
      </c>
      <c r="F49" s="98">
        <v>2011</v>
      </c>
      <c r="G49" s="98" t="s">
        <v>631</v>
      </c>
      <c r="H49" s="101" t="s">
        <v>159</v>
      </c>
      <c r="I49" s="101" t="s">
        <v>1014</v>
      </c>
      <c r="J49" s="115" t="s">
        <v>1013</v>
      </c>
      <c r="K49" s="98" t="s">
        <v>1091</v>
      </c>
      <c r="L49" s="98" t="s">
        <v>978</v>
      </c>
      <c r="M49" s="101"/>
      <c r="N49" s="101"/>
      <c r="O49" s="101" t="s">
        <v>977</v>
      </c>
      <c r="P49" s="101"/>
      <c r="Q49" s="101"/>
      <c r="R49" s="101"/>
      <c r="S49" s="101"/>
      <c r="T49" s="101"/>
      <c r="U49" s="98">
        <v>0.89500000000000002</v>
      </c>
      <c r="V49" s="101"/>
      <c r="W49" s="101"/>
      <c r="X49" s="101">
        <f t="shared" si="2"/>
        <v>0.89500000000000002</v>
      </c>
      <c r="Y49" s="111">
        <v>6.39</v>
      </c>
      <c r="Z49" s="106" t="str">
        <f t="shared" si="3"/>
        <v>S</v>
      </c>
    </row>
    <row r="50" spans="1:26" s="107" customFormat="1">
      <c r="A50" s="101"/>
      <c r="B50" s="123" t="s">
        <v>766</v>
      </c>
      <c r="C50" s="98">
        <v>2013</v>
      </c>
      <c r="D50" s="101"/>
      <c r="E50" s="99" t="s">
        <v>172</v>
      </c>
      <c r="F50" s="98">
        <v>2011</v>
      </c>
      <c r="G50" s="98" t="s">
        <v>631</v>
      </c>
      <c r="H50" s="101" t="s">
        <v>159</v>
      </c>
      <c r="I50" s="101" t="s">
        <v>1014</v>
      </c>
      <c r="J50" s="115" t="s">
        <v>1013</v>
      </c>
      <c r="K50" s="98" t="s">
        <v>1091</v>
      </c>
      <c r="L50" s="98" t="s">
        <v>975</v>
      </c>
      <c r="M50" s="101"/>
      <c r="N50" s="101"/>
      <c r="O50" s="101" t="s">
        <v>976</v>
      </c>
      <c r="P50" s="101"/>
      <c r="Q50" s="101"/>
      <c r="R50" s="101"/>
      <c r="S50" s="101"/>
      <c r="T50" s="101"/>
      <c r="U50" s="98">
        <v>0.89500000000000002</v>
      </c>
      <c r="V50" s="101"/>
      <c r="W50" s="101"/>
      <c r="X50" s="101">
        <f t="shared" si="2"/>
        <v>0.89500000000000002</v>
      </c>
      <c r="Y50" s="111">
        <v>6.53</v>
      </c>
      <c r="Z50" s="106" t="str">
        <f t="shared" si="3"/>
        <v>S</v>
      </c>
    </row>
    <row r="51" spans="1:26" s="107" customFormat="1">
      <c r="A51" s="101"/>
      <c r="B51" s="123" t="s">
        <v>766</v>
      </c>
      <c r="C51" s="98">
        <v>2013</v>
      </c>
      <c r="D51" s="101"/>
      <c r="E51" s="99" t="s">
        <v>172</v>
      </c>
      <c r="F51" s="98">
        <v>2011</v>
      </c>
      <c r="G51" s="98" t="s">
        <v>631</v>
      </c>
      <c r="H51" s="101" t="s">
        <v>159</v>
      </c>
      <c r="I51" s="101" t="s">
        <v>1014</v>
      </c>
      <c r="J51" s="115" t="s">
        <v>1013</v>
      </c>
      <c r="K51" s="98" t="s">
        <v>1091</v>
      </c>
      <c r="L51" s="98" t="s">
        <v>975</v>
      </c>
      <c r="M51" s="101"/>
      <c r="N51" s="101"/>
      <c r="O51" s="101" t="s">
        <v>976</v>
      </c>
      <c r="P51" s="101"/>
      <c r="Q51" s="101"/>
      <c r="R51" s="101"/>
      <c r="S51" s="101"/>
      <c r="T51" s="101"/>
      <c r="U51" s="98">
        <v>0.89400000000000002</v>
      </c>
      <c r="V51" s="101"/>
      <c r="W51" s="101"/>
      <c r="X51" s="101">
        <f t="shared" si="2"/>
        <v>0.89400000000000002</v>
      </c>
      <c r="Y51" s="111">
        <v>7.05</v>
      </c>
      <c r="Z51" s="106" t="str">
        <f t="shared" si="3"/>
        <v>S</v>
      </c>
    </row>
    <row r="52" spans="1:26" s="107" customFormat="1">
      <c r="A52" s="101"/>
      <c r="B52" s="123" t="s">
        <v>766</v>
      </c>
      <c r="C52" s="98">
        <v>2013</v>
      </c>
      <c r="D52" s="101"/>
      <c r="E52" s="99" t="s">
        <v>172</v>
      </c>
      <c r="F52" s="98">
        <v>2011</v>
      </c>
      <c r="G52" s="98" t="s">
        <v>631</v>
      </c>
      <c r="H52" s="101" t="s">
        <v>159</v>
      </c>
      <c r="I52" s="101" t="s">
        <v>1014</v>
      </c>
      <c r="J52" s="115" t="s">
        <v>1013</v>
      </c>
      <c r="K52" s="98" t="s">
        <v>1091</v>
      </c>
      <c r="L52" s="98" t="s">
        <v>974</v>
      </c>
      <c r="M52" s="101"/>
      <c r="N52" s="101"/>
      <c r="O52" s="101" t="s">
        <v>972</v>
      </c>
      <c r="P52" s="101"/>
      <c r="Q52" s="101"/>
      <c r="R52" s="101"/>
      <c r="S52" s="101"/>
      <c r="T52" s="101"/>
      <c r="U52" s="98">
        <v>0.89200000000000002</v>
      </c>
      <c r="V52" s="101"/>
      <c r="W52" s="101"/>
      <c r="X52" s="101">
        <f t="shared" si="2"/>
        <v>0.89200000000000002</v>
      </c>
      <c r="Y52" s="111">
        <v>6.23</v>
      </c>
      <c r="Z52" s="106" t="str">
        <f t="shared" si="3"/>
        <v>S</v>
      </c>
    </row>
    <row r="53" spans="1:26" s="107" customFormat="1">
      <c r="A53" s="101"/>
      <c r="B53" s="123" t="s">
        <v>766</v>
      </c>
      <c r="C53" s="98">
        <v>2013</v>
      </c>
      <c r="D53" s="101"/>
      <c r="E53" s="99" t="s">
        <v>172</v>
      </c>
      <c r="F53" s="98">
        <v>2011</v>
      </c>
      <c r="G53" s="98" t="s">
        <v>631</v>
      </c>
      <c r="H53" s="101" t="s">
        <v>159</v>
      </c>
      <c r="I53" s="101" t="s">
        <v>1014</v>
      </c>
      <c r="J53" s="115" t="s">
        <v>1013</v>
      </c>
      <c r="K53" s="98" t="s">
        <v>1091</v>
      </c>
      <c r="L53" s="98" t="s">
        <v>974</v>
      </c>
      <c r="M53" s="101"/>
      <c r="N53" s="101"/>
      <c r="O53" s="101" t="s">
        <v>972</v>
      </c>
      <c r="P53" s="101"/>
      <c r="Q53" s="101"/>
      <c r="R53" s="101"/>
      <c r="S53" s="101"/>
      <c r="T53" s="101"/>
      <c r="U53" s="98">
        <v>0.89200000000000002</v>
      </c>
      <c r="V53" s="101"/>
      <c r="W53" s="101"/>
      <c r="X53" s="101">
        <f t="shared" si="2"/>
        <v>0.89200000000000002</v>
      </c>
      <c r="Y53" s="111">
        <v>6.62</v>
      </c>
      <c r="Z53" s="106" t="str">
        <f t="shared" si="3"/>
        <v>S</v>
      </c>
    </row>
    <row r="54" spans="1:26" s="107" customFormat="1">
      <c r="A54" s="101"/>
      <c r="B54" s="123" t="s">
        <v>766</v>
      </c>
      <c r="C54" s="98">
        <v>2013</v>
      </c>
      <c r="D54" s="101"/>
      <c r="E54" s="99" t="s">
        <v>172</v>
      </c>
      <c r="F54" s="98">
        <v>2011</v>
      </c>
      <c r="G54" s="98" t="s">
        <v>631</v>
      </c>
      <c r="H54" s="101" t="s">
        <v>159</v>
      </c>
      <c r="I54" s="101" t="s">
        <v>1014</v>
      </c>
      <c r="J54" s="115" t="s">
        <v>1013</v>
      </c>
      <c r="K54" s="98" t="s">
        <v>1091</v>
      </c>
      <c r="L54" s="98" t="s">
        <v>974</v>
      </c>
      <c r="M54" s="101"/>
      <c r="N54" s="101"/>
      <c r="O54" s="101" t="s">
        <v>972</v>
      </c>
      <c r="P54" s="101"/>
      <c r="Q54" s="101"/>
      <c r="R54" s="101"/>
      <c r="S54" s="101"/>
      <c r="T54" s="101"/>
      <c r="U54" s="98">
        <v>0.89</v>
      </c>
      <c r="V54" s="101"/>
      <c r="W54" s="101"/>
      <c r="X54" s="101">
        <f t="shared" si="2"/>
        <v>0.89</v>
      </c>
      <c r="Y54" s="111">
        <v>6.74</v>
      </c>
      <c r="Z54" s="106" t="str">
        <f t="shared" si="3"/>
        <v>S</v>
      </c>
    </row>
    <row r="55" spans="1:26" s="107" customFormat="1">
      <c r="A55" s="101"/>
      <c r="B55" s="123" t="s">
        <v>766</v>
      </c>
      <c r="C55" s="98">
        <v>2013</v>
      </c>
      <c r="D55" s="101"/>
      <c r="E55" s="99" t="s">
        <v>172</v>
      </c>
      <c r="F55" s="98">
        <v>2011</v>
      </c>
      <c r="G55" s="98" t="s">
        <v>631</v>
      </c>
      <c r="H55" s="101" t="s">
        <v>159</v>
      </c>
      <c r="I55" s="101" t="s">
        <v>1014</v>
      </c>
      <c r="J55" s="115" t="s">
        <v>1013</v>
      </c>
      <c r="K55" s="98" t="s">
        <v>1091</v>
      </c>
      <c r="L55" s="98" t="s">
        <v>974</v>
      </c>
      <c r="M55" s="101"/>
      <c r="N55" s="101"/>
      <c r="O55" s="101" t="s">
        <v>972</v>
      </c>
      <c r="P55" s="101"/>
      <c r="Q55" s="101"/>
      <c r="R55" s="101"/>
      <c r="S55" s="101"/>
      <c r="T55" s="101"/>
      <c r="U55" s="98">
        <v>0.89</v>
      </c>
      <c r="V55" s="101"/>
      <c r="W55" s="101"/>
      <c r="X55" s="101">
        <f t="shared" si="2"/>
        <v>0.89</v>
      </c>
      <c r="Y55" s="111">
        <v>6.8</v>
      </c>
      <c r="Z55" s="106" t="str">
        <f t="shared" si="3"/>
        <v>S</v>
      </c>
    </row>
    <row r="56" spans="1:26" s="107" customFormat="1">
      <c r="A56" s="101"/>
      <c r="B56" s="123" t="s">
        <v>766</v>
      </c>
      <c r="C56" s="98">
        <v>2013</v>
      </c>
      <c r="D56" s="101"/>
      <c r="E56" s="99" t="s">
        <v>172</v>
      </c>
      <c r="F56" s="98">
        <v>2011</v>
      </c>
      <c r="G56" s="98" t="s">
        <v>631</v>
      </c>
      <c r="H56" s="101" t="s">
        <v>159</v>
      </c>
      <c r="I56" s="101" t="s">
        <v>1014</v>
      </c>
      <c r="J56" s="115" t="s">
        <v>1013</v>
      </c>
      <c r="K56" s="98" t="s">
        <v>1091</v>
      </c>
      <c r="L56" s="98" t="s">
        <v>975</v>
      </c>
      <c r="M56" s="101"/>
      <c r="N56" s="101"/>
      <c r="O56" s="101" t="s">
        <v>976</v>
      </c>
      <c r="P56" s="101"/>
      <c r="Q56" s="101"/>
      <c r="R56" s="101"/>
      <c r="S56" s="101"/>
      <c r="T56" s="101"/>
      <c r="U56" s="98">
        <v>0.89</v>
      </c>
      <c r="V56" s="101"/>
      <c r="W56" s="101"/>
      <c r="X56" s="101">
        <f t="shared" si="2"/>
        <v>0.89</v>
      </c>
      <c r="Y56" s="111">
        <v>7.57</v>
      </c>
      <c r="Z56" s="106" t="str">
        <f t="shared" si="3"/>
        <v>S</v>
      </c>
    </row>
    <row r="57" spans="1:26" s="107" customFormat="1">
      <c r="A57" s="101"/>
      <c r="B57" s="123" t="s">
        <v>766</v>
      </c>
      <c r="C57" s="98">
        <v>2013</v>
      </c>
      <c r="D57" s="101"/>
      <c r="E57" s="99" t="s">
        <v>172</v>
      </c>
      <c r="F57" s="98">
        <v>2011</v>
      </c>
      <c r="G57" s="98" t="s">
        <v>631</v>
      </c>
      <c r="H57" s="101" t="s">
        <v>159</v>
      </c>
      <c r="I57" s="101" t="s">
        <v>1014</v>
      </c>
      <c r="J57" s="115" t="s">
        <v>1013</v>
      </c>
      <c r="K57" s="98" t="s">
        <v>1091</v>
      </c>
      <c r="L57" s="98" t="s">
        <v>974</v>
      </c>
      <c r="M57" s="101"/>
      <c r="N57" s="101"/>
      <c r="O57" s="101" t="s">
        <v>972</v>
      </c>
      <c r="P57" s="101"/>
      <c r="Q57" s="101"/>
      <c r="R57" s="101"/>
      <c r="S57" s="101"/>
      <c r="T57" s="101"/>
      <c r="U57" s="98">
        <v>0.88900000000000001</v>
      </c>
      <c r="V57" s="101"/>
      <c r="W57" s="101"/>
      <c r="X57" s="101">
        <f t="shared" si="2"/>
        <v>0.88900000000000001</v>
      </c>
      <c r="Y57" s="111">
        <v>6.77</v>
      </c>
      <c r="Z57" s="106" t="str">
        <f t="shared" si="3"/>
        <v>S</v>
      </c>
    </row>
    <row r="58" spans="1:26" s="107" customFormat="1">
      <c r="A58" s="101"/>
      <c r="B58" s="123" t="s">
        <v>766</v>
      </c>
      <c r="C58" s="98">
        <v>2013</v>
      </c>
      <c r="D58" s="101"/>
      <c r="E58" s="99" t="s">
        <v>172</v>
      </c>
      <c r="F58" s="98">
        <v>2011</v>
      </c>
      <c r="G58" s="98" t="s">
        <v>631</v>
      </c>
      <c r="H58" s="101" t="s">
        <v>159</v>
      </c>
      <c r="I58" s="101" t="s">
        <v>1014</v>
      </c>
      <c r="J58" s="115" t="s">
        <v>1013</v>
      </c>
      <c r="K58" s="98" t="s">
        <v>1091</v>
      </c>
      <c r="L58" s="98" t="s">
        <v>978</v>
      </c>
      <c r="M58" s="101"/>
      <c r="N58" s="101"/>
      <c r="O58" s="101" t="s">
        <v>977</v>
      </c>
      <c r="P58" s="101"/>
      <c r="Q58" s="101"/>
      <c r="R58" s="101"/>
      <c r="S58" s="101"/>
      <c r="T58" s="101"/>
      <c r="U58" s="98">
        <v>0.88900000000000001</v>
      </c>
      <c r="V58" s="101"/>
      <c r="W58" s="101"/>
      <c r="X58" s="101">
        <f t="shared" si="2"/>
        <v>0.88900000000000001</v>
      </c>
      <c r="Y58" s="111">
        <v>7.76</v>
      </c>
      <c r="Z58" s="106" t="str">
        <f t="shared" si="3"/>
        <v>S</v>
      </c>
    </row>
    <row r="59" spans="1:26" s="107" customFormat="1">
      <c r="A59" s="101"/>
      <c r="B59" s="123" t="s">
        <v>766</v>
      </c>
      <c r="C59" s="98">
        <v>2013</v>
      </c>
      <c r="D59" s="101"/>
      <c r="E59" s="99" t="s">
        <v>172</v>
      </c>
      <c r="F59" s="98">
        <v>2011</v>
      </c>
      <c r="G59" s="98" t="s">
        <v>631</v>
      </c>
      <c r="H59" s="101" t="s">
        <v>159</v>
      </c>
      <c r="I59" s="101" t="s">
        <v>1014</v>
      </c>
      <c r="J59" s="115" t="s">
        <v>1013</v>
      </c>
      <c r="K59" s="98" t="s">
        <v>1091</v>
      </c>
      <c r="L59" s="98" t="s">
        <v>974</v>
      </c>
      <c r="M59" s="101"/>
      <c r="N59" s="101"/>
      <c r="O59" s="101" t="s">
        <v>972</v>
      </c>
      <c r="P59" s="101"/>
      <c r="Q59" s="101"/>
      <c r="R59" s="101"/>
      <c r="S59" s="101"/>
      <c r="T59" s="101"/>
      <c r="U59" s="98">
        <v>0.88600000000000001</v>
      </c>
      <c r="V59" s="101"/>
      <c r="W59" s="101"/>
      <c r="X59" s="101">
        <f t="shared" si="2"/>
        <v>0.88600000000000001</v>
      </c>
      <c r="Y59" s="111">
        <v>6.8</v>
      </c>
      <c r="Z59" s="106" t="str">
        <f t="shared" si="3"/>
        <v>S</v>
      </c>
    </row>
    <row r="60" spans="1:26" s="107" customFormat="1">
      <c r="A60" s="101"/>
      <c r="B60" s="123" t="s">
        <v>766</v>
      </c>
      <c r="C60" s="98">
        <v>2013</v>
      </c>
      <c r="D60" s="101"/>
      <c r="E60" s="99" t="s">
        <v>172</v>
      </c>
      <c r="F60" s="98">
        <v>2011</v>
      </c>
      <c r="G60" s="98" t="s">
        <v>631</v>
      </c>
      <c r="H60" s="101" t="s">
        <v>159</v>
      </c>
      <c r="I60" s="101" t="s">
        <v>1014</v>
      </c>
      <c r="J60" s="115" t="s">
        <v>1013</v>
      </c>
      <c r="K60" s="98" t="s">
        <v>1091</v>
      </c>
      <c r="L60" s="98" t="s">
        <v>978</v>
      </c>
      <c r="M60" s="101"/>
      <c r="N60" s="101"/>
      <c r="O60" s="101" t="s">
        <v>977</v>
      </c>
      <c r="P60" s="101"/>
      <c r="Q60" s="101"/>
      <c r="R60" s="101"/>
      <c r="S60" s="101"/>
      <c r="T60" s="101"/>
      <c r="U60" s="98">
        <v>0.88600000000000001</v>
      </c>
      <c r="V60" s="101"/>
      <c r="W60" s="101"/>
      <c r="X60" s="101">
        <f t="shared" si="2"/>
        <v>0.88600000000000001</v>
      </c>
      <c r="Y60" s="111">
        <v>7.15</v>
      </c>
      <c r="Z60" s="106" t="str">
        <f t="shared" si="3"/>
        <v>S</v>
      </c>
    </row>
    <row r="61" spans="1:26" s="107" customFormat="1">
      <c r="A61" s="101"/>
      <c r="B61" s="123" t="s">
        <v>766</v>
      </c>
      <c r="C61" s="98">
        <v>2013</v>
      </c>
      <c r="D61" s="101"/>
      <c r="E61" s="99" t="s">
        <v>172</v>
      </c>
      <c r="F61" s="98">
        <v>2011</v>
      </c>
      <c r="G61" s="98" t="s">
        <v>631</v>
      </c>
      <c r="H61" s="101" t="s">
        <v>159</v>
      </c>
      <c r="I61" s="101" t="s">
        <v>1014</v>
      </c>
      <c r="J61" s="115" t="s">
        <v>1013</v>
      </c>
      <c r="K61" s="98" t="s">
        <v>1091</v>
      </c>
      <c r="L61" s="98" t="s">
        <v>974</v>
      </c>
      <c r="M61" s="101"/>
      <c r="N61" s="101"/>
      <c r="O61" s="101" t="s">
        <v>972</v>
      </c>
      <c r="P61" s="101"/>
      <c r="Q61" s="101"/>
      <c r="R61" s="101"/>
      <c r="S61" s="101"/>
      <c r="T61" s="101"/>
      <c r="U61" s="98">
        <v>0.88500000000000001</v>
      </c>
      <c r="V61" s="101"/>
      <c r="W61" s="101"/>
      <c r="X61" s="101">
        <f t="shared" si="2"/>
        <v>0.88500000000000001</v>
      </c>
      <c r="Y61" s="111">
        <v>7.18</v>
      </c>
      <c r="Z61" s="106" t="str">
        <f t="shared" si="3"/>
        <v>S</v>
      </c>
    </row>
    <row r="62" spans="1:26" s="107" customFormat="1">
      <c r="A62" s="101"/>
      <c r="B62" s="123" t="s">
        <v>766</v>
      </c>
      <c r="C62" s="98">
        <v>2013</v>
      </c>
      <c r="D62" s="101"/>
      <c r="E62" s="99" t="s">
        <v>172</v>
      </c>
      <c r="F62" s="98">
        <v>2011</v>
      </c>
      <c r="G62" s="98" t="s">
        <v>631</v>
      </c>
      <c r="H62" s="101" t="s">
        <v>159</v>
      </c>
      <c r="I62" s="101" t="s">
        <v>1014</v>
      </c>
      <c r="J62" s="115" t="s">
        <v>1013</v>
      </c>
      <c r="K62" s="98" t="s">
        <v>1091</v>
      </c>
      <c r="L62" s="98" t="s">
        <v>978</v>
      </c>
      <c r="M62" s="101"/>
      <c r="N62" s="101"/>
      <c r="O62" s="101" t="s">
        <v>977</v>
      </c>
      <c r="P62" s="101"/>
      <c r="Q62" s="101"/>
      <c r="R62" s="101"/>
      <c r="S62" s="101"/>
      <c r="T62" s="101"/>
      <c r="U62" s="98">
        <v>0.88500000000000001</v>
      </c>
      <c r="V62" s="101"/>
      <c r="W62" s="101"/>
      <c r="X62" s="101">
        <f t="shared" si="2"/>
        <v>0.88500000000000001</v>
      </c>
      <c r="Y62" s="111">
        <v>7.74</v>
      </c>
      <c r="Z62" s="106" t="str">
        <f t="shared" si="3"/>
        <v>S</v>
      </c>
    </row>
    <row r="63" spans="1:26" s="107" customFormat="1">
      <c r="A63" s="101"/>
      <c r="B63" s="123" t="s">
        <v>766</v>
      </c>
      <c r="C63" s="98">
        <v>2013</v>
      </c>
      <c r="D63" s="101"/>
      <c r="E63" s="99" t="s">
        <v>172</v>
      </c>
      <c r="F63" s="98">
        <v>2011</v>
      </c>
      <c r="G63" s="98" t="s">
        <v>631</v>
      </c>
      <c r="H63" s="101" t="s">
        <v>159</v>
      </c>
      <c r="I63" s="101" t="s">
        <v>1014</v>
      </c>
      <c r="J63" s="115" t="s">
        <v>1013</v>
      </c>
      <c r="K63" s="98" t="s">
        <v>1091</v>
      </c>
      <c r="L63" s="98" t="s">
        <v>974</v>
      </c>
      <c r="M63" s="101"/>
      <c r="N63" s="101"/>
      <c r="O63" s="101" t="s">
        <v>972</v>
      </c>
      <c r="P63" s="101"/>
      <c r="Q63" s="101"/>
      <c r="R63" s="101"/>
      <c r="S63" s="101"/>
      <c r="T63" s="101"/>
      <c r="U63" s="98">
        <v>0.88400000000000001</v>
      </c>
      <c r="V63" s="101"/>
      <c r="W63" s="101"/>
      <c r="X63" s="101">
        <f t="shared" si="2"/>
        <v>0.88400000000000001</v>
      </c>
      <c r="Y63" s="111">
        <v>6.65</v>
      </c>
      <c r="Z63" s="106" t="str">
        <f t="shared" si="3"/>
        <v>S</v>
      </c>
    </row>
    <row r="64" spans="1:26" s="107" customFormat="1">
      <c r="A64" s="101"/>
      <c r="B64" s="123" t="s">
        <v>766</v>
      </c>
      <c r="C64" s="98">
        <v>2013</v>
      </c>
      <c r="D64" s="101"/>
      <c r="E64" s="99" t="s">
        <v>172</v>
      </c>
      <c r="F64" s="98">
        <v>2011</v>
      </c>
      <c r="G64" s="98" t="s">
        <v>631</v>
      </c>
      <c r="H64" s="101" t="s">
        <v>159</v>
      </c>
      <c r="I64" s="101" t="s">
        <v>1014</v>
      </c>
      <c r="J64" s="115" t="s">
        <v>1013</v>
      </c>
      <c r="K64" s="98" t="s">
        <v>1091</v>
      </c>
      <c r="L64" s="98" t="s">
        <v>974</v>
      </c>
      <c r="M64" s="101"/>
      <c r="N64" s="101"/>
      <c r="O64" s="101" t="s">
        <v>972</v>
      </c>
      <c r="P64" s="101"/>
      <c r="Q64" s="101"/>
      <c r="R64" s="101"/>
      <c r="S64" s="101"/>
      <c r="T64" s="101"/>
      <c r="U64" s="98">
        <v>0.88400000000000001</v>
      </c>
      <c r="V64" s="101"/>
      <c r="W64" s="101"/>
      <c r="X64" s="101">
        <f t="shared" si="2"/>
        <v>0.88400000000000001</v>
      </c>
      <c r="Y64" s="111">
        <v>7.83</v>
      </c>
      <c r="Z64" s="106" t="str">
        <f t="shared" si="3"/>
        <v>S</v>
      </c>
    </row>
    <row r="65" spans="1:26" s="107" customFormat="1">
      <c r="A65" s="101"/>
      <c r="B65" s="123" t="s">
        <v>766</v>
      </c>
      <c r="C65" s="98">
        <v>2013</v>
      </c>
      <c r="D65" s="101"/>
      <c r="E65" s="99" t="s">
        <v>172</v>
      </c>
      <c r="F65" s="98">
        <v>2011</v>
      </c>
      <c r="G65" s="98" t="s">
        <v>631</v>
      </c>
      <c r="H65" s="101" t="s">
        <v>159</v>
      </c>
      <c r="I65" s="101" t="s">
        <v>1014</v>
      </c>
      <c r="J65" s="115" t="s">
        <v>1013</v>
      </c>
      <c r="K65" s="98" t="s">
        <v>1091</v>
      </c>
      <c r="L65" s="98" t="s">
        <v>978</v>
      </c>
      <c r="M65" s="101"/>
      <c r="N65" s="101"/>
      <c r="O65" s="101" t="s">
        <v>977</v>
      </c>
      <c r="P65" s="101"/>
      <c r="Q65" s="101"/>
      <c r="R65" s="101"/>
      <c r="S65" s="101"/>
      <c r="T65" s="101"/>
      <c r="U65" s="98">
        <v>0.879</v>
      </c>
      <c r="V65" s="101"/>
      <c r="W65" s="101"/>
      <c r="X65" s="101">
        <f t="shared" si="2"/>
        <v>0.879</v>
      </c>
      <c r="Y65" s="111">
        <v>6.41</v>
      </c>
      <c r="Z65" s="106" t="str">
        <f t="shared" si="3"/>
        <v>S</v>
      </c>
    </row>
    <row r="66" spans="1:26" s="107" customFormat="1">
      <c r="A66" s="101"/>
      <c r="B66" s="123" t="s">
        <v>766</v>
      </c>
      <c r="C66" s="98">
        <v>2013</v>
      </c>
      <c r="D66" s="101"/>
      <c r="E66" s="99" t="s">
        <v>172</v>
      </c>
      <c r="F66" s="98">
        <v>2011</v>
      </c>
      <c r="G66" s="98" t="s">
        <v>631</v>
      </c>
      <c r="H66" s="101" t="s">
        <v>159</v>
      </c>
      <c r="I66" s="101" t="s">
        <v>1014</v>
      </c>
      <c r="J66" s="115" t="s">
        <v>1013</v>
      </c>
      <c r="K66" s="98" t="s">
        <v>1091</v>
      </c>
      <c r="L66" s="98" t="s">
        <v>978</v>
      </c>
      <c r="M66" s="101"/>
      <c r="N66" s="101"/>
      <c r="O66" s="101" t="s">
        <v>977</v>
      </c>
      <c r="P66" s="101"/>
      <c r="Q66" s="101"/>
      <c r="R66" s="101"/>
      <c r="S66" s="101"/>
      <c r="T66" s="101"/>
      <c r="U66" s="98">
        <v>0.878</v>
      </c>
      <c r="V66" s="101"/>
      <c r="W66" s="101"/>
      <c r="X66" s="101">
        <f t="shared" ref="X66:X97" si="4">IF(R66&lt;&gt;0,IF(R66&gt;1,R66/100,R66),IF(U66&lt;&gt;0,IF(U66&gt;1,U66/100,U66),""))</f>
        <v>0.878</v>
      </c>
      <c r="Y66" s="111">
        <v>7.36</v>
      </c>
      <c r="Z66" s="106" t="str">
        <f t="shared" ref="Z66:Z97" si="5">IF(X66&lt;&gt;"",IF(X66&lt;0.9,"S","F"),"")</f>
        <v>S</v>
      </c>
    </row>
    <row r="67" spans="1:26" s="107" customFormat="1">
      <c r="A67" s="101"/>
      <c r="B67" s="123" t="s">
        <v>766</v>
      </c>
      <c r="C67" s="98">
        <v>2013</v>
      </c>
      <c r="D67" s="101"/>
      <c r="E67" s="99" t="s">
        <v>172</v>
      </c>
      <c r="F67" s="98">
        <v>2011</v>
      </c>
      <c r="G67" s="98" t="s">
        <v>631</v>
      </c>
      <c r="H67" s="101" t="s">
        <v>159</v>
      </c>
      <c r="I67" s="101" t="s">
        <v>1014</v>
      </c>
      <c r="J67" s="115" t="s">
        <v>1013</v>
      </c>
      <c r="K67" s="98" t="s">
        <v>1091</v>
      </c>
      <c r="L67" s="98" t="s">
        <v>978</v>
      </c>
      <c r="M67" s="101"/>
      <c r="N67" s="101"/>
      <c r="O67" s="101" t="s">
        <v>977</v>
      </c>
      <c r="P67" s="101"/>
      <c r="Q67" s="101"/>
      <c r="R67" s="101"/>
      <c r="S67" s="101"/>
      <c r="T67" s="101"/>
      <c r="U67" s="98">
        <v>0.876</v>
      </c>
      <c r="V67" s="101"/>
      <c r="W67" s="101"/>
      <c r="X67" s="101">
        <f t="shared" si="4"/>
        <v>0.876</v>
      </c>
      <c r="Y67" s="111">
        <v>7.2</v>
      </c>
      <c r="Z67" s="106" t="str">
        <f t="shared" si="5"/>
        <v>S</v>
      </c>
    </row>
    <row r="68" spans="1:26" s="107" customFormat="1">
      <c r="A68" s="101"/>
      <c r="B68" s="123" t="s">
        <v>766</v>
      </c>
      <c r="C68" s="98">
        <v>2013</v>
      </c>
      <c r="D68" s="101"/>
      <c r="E68" s="99" t="s">
        <v>172</v>
      </c>
      <c r="F68" s="98">
        <v>2011</v>
      </c>
      <c r="G68" s="98" t="s">
        <v>631</v>
      </c>
      <c r="H68" s="101" t="s">
        <v>159</v>
      </c>
      <c r="I68" s="101" t="s">
        <v>1014</v>
      </c>
      <c r="J68" s="115" t="s">
        <v>1013</v>
      </c>
      <c r="K68" s="98" t="s">
        <v>1091</v>
      </c>
      <c r="L68" s="98" t="s">
        <v>974</v>
      </c>
      <c r="M68" s="101"/>
      <c r="N68" s="101"/>
      <c r="O68" s="101" t="s">
        <v>972</v>
      </c>
      <c r="P68" s="101"/>
      <c r="Q68" s="101"/>
      <c r="R68" s="101"/>
      <c r="S68" s="101"/>
      <c r="T68" s="101"/>
      <c r="U68" s="98">
        <v>0.876</v>
      </c>
      <c r="V68" s="101"/>
      <c r="W68" s="101"/>
      <c r="X68" s="101">
        <f t="shared" si="4"/>
        <v>0.876</v>
      </c>
      <c r="Y68" s="111">
        <v>7.34</v>
      </c>
      <c r="Z68" s="106" t="str">
        <f t="shared" si="5"/>
        <v>S</v>
      </c>
    </row>
    <row r="69" spans="1:26" s="107" customFormat="1">
      <c r="A69" s="101"/>
      <c r="B69" s="123" t="s">
        <v>766</v>
      </c>
      <c r="C69" s="98">
        <v>2013</v>
      </c>
      <c r="D69" s="101"/>
      <c r="E69" s="99" t="s">
        <v>172</v>
      </c>
      <c r="F69" s="98">
        <v>2011</v>
      </c>
      <c r="G69" s="98" t="s">
        <v>631</v>
      </c>
      <c r="H69" s="101" t="s">
        <v>159</v>
      </c>
      <c r="I69" s="101" t="s">
        <v>1014</v>
      </c>
      <c r="J69" s="115" t="s">
        <v>1013</v>
      </c>
      <c r="K69" s="98" t="s">
        <v>1091</v>
      </c>
      <c r="L69" s="98" t="s">
        <v>978</v>
      </c>
      <c r="M69" s="101"/>
      <c r="N69" s="101"/>
      <c r="O69" s="101" t="s">
        <v>977</v>
      </c>
      <c r="P69" s="101"/>
      <c r="Q69" s="101"/>
      <c r="R69" s="101"/>
      <c r="S69" s="101"/>
      <c r="T69" s="101"/>
      <c r="U69" s="98">
        <v>0.876</v>
      </c>
      <c r="V69" s="101"/>
      <c r="W69" s="101"/>
      <c r="X69" s="101">
        <f t="shared" si="4"/>
        <v>0.876</v>
      </c>
      <c r="Y69" s="111">
        <v>7.69</v>
      </c>
      <c r="Z69" s="106" t="str">
        <f t="shared" si="5"/>
        <v>S</v>
      </c>
    </row>
    <row r="70" spans="1:26" s="107" customFormat="1">
      <c r="A70" s="101"/>
      <c r="B70" s="123" t="s">
        <v>766</v>
      </c>
      <c r="C70" s="98">
        <v>2013</v>
      </c>
      <c r="D70" s="101"/>
      <c r="E70" s="99" t="s">
        <v>172</v>
      </c>
      <c r="F70" s="98">
        <v>2011</v>
      </c>
      <c r="G70" s="98" t="s">
        <v>631</v>
      </c>
      <c r="H70" s="101" t="s">
        <v>159</v>
      </c>
      <c r="I70" s="101" t="s">
        <v>1014</v>
      </c>
      <c r="J70" s="115" t="s">
        <v>1013</v>
      </c>
      <c r="K70" s="98" t="s">
        <v>1091</v>
      </c>
      <c r="L70" s="98" t="s">
        <v>978</v>
      </c>
      <c r="M70" s="101"/>
      <c r="N70" s="101"/>
      <c r="O70" s="101" t="s">
        <v>977</v>
      </c>
      <c r="P70" s="101"/>
      <c r="Q70" s="101"/>
      <c r="R70" s="101"/>
      <c r="S70" s="101"/>
      <c r="T70" s="101"/>
      <c r="U70" s="98">
        <v>0.876</v>
      </c>
      <c r="V70" s="101"/>
      <c r="W70" s="101"/>
      <c r="X70" s="101">
        <f t="shared" si="4"/>
        <v>0.876</v>
      </c>
      <c r="Y70" s="111">
        <v>7.78</v>
      </c>
      <c r="Z70" s="106" t="str">
        <f t="shared" si="5"/>
        <v>S</v>
      </c>
    </row>
    <row r="71" spans="1:26" s="107" customFormat="1">
      <c r="A71" s="101"/>
      <c r="B71" s="123" t="s">
        <v>766</v>
      </c>
      <c r="C71" s="98">
        <v>2013</v>
      </c>
      <c r="D71" s="101"/>
      <c r="E71" s="99" t="s">
        <v>172</v>
      </c>
      <c r="F71" s="98">
        <v>2011</v>
      </c>
      <c r="G71" s="98" t="s">
        <v>631</v>
      </c>
      <c r="H71" s="101" t="s">
        <v>159</v>
      </c>
      <c r="I71" s="101" t="s">
        <v>1014</v>
      </c>
      <c r="J71" s="115" t="s">
        <v>1013</v>
      </c>
      <c r="K71" s="98" t="s">
        <v>1091</v>
      </c>
      <c r="L71" s="98" t="s">
        <v>978</v>
      </c>
      <c r="M71" s="101"/>
      <c r="N71" s="101"/>
      <c r="O71" s="101" t="s">
        <v>977</v>
      </c>
      <c r="P71" s="101"/>
      <c r="Q71" s="101"/>
      <c r="R71" s="101"/>
      <c r="S71" s="101"/>
      <c r="T71" s="101"/>
      <c r="U71" s="98">
        <v>0.876</v>
      </c>
      <c r="V71" s="101"/>
      <c r="W71" s="101"/>
      <c r="X71" s="101">
        <f t="shared" si="4"/>
        <v>0.876</v>
      </c>
      <c r="Y71" s="111">
        <v>9.6199999999999992</v>
      </c>
      <c r="Z71" s="106" t="str">
        <f t="shared" si="5"/>
        <v>S</v>
      </c>
    </row>
    <row r="72" spans="1:26" s="107" customFormat="1">
      <c r="A72" s="101"/>
      <c r="B72" s="123" t="s">
        <v>766</v>
      </c>
      <c r="C72" s="98">
        <v>2013</v>
      </c>
      <c r="D72" s="101"/>
      <c r="E72" s="99" t="s">
        <v>172</v>
      </c>
      <c r="F72" s="98">
        <v>2011</v>
      </c>
      <c r="G72" s="98" t="s">
        <v>631</v>
      </c>
      <c r="H72" s="101" t="s">
        <v>159</v>
      </c>
      <c r="I72" s="101" t="s">
        <v>1014</v>
      </c>
      <c r="J72" s="115" t="s">
        <v>1013</v>
      </c>
      <c r="K72" s="98" t="s">
        <v>1091</v>
      </c>
      <c r="L72" s="98" t="s">
        <v>974</v>
      </c>
      <c r="M72" s="101"/>
      <c r="N72" s="101"/>
      <c r="O72" s="101" t="s">
        <v>972</v>
      </c>
      <c r="P72" s="101"/>
      <c r="Q72" s="101"/>
      <c r="R72" s="101"/>
      <c r="S72" s="101"/>
      <c r="T72" s="101"/>
      <c r="U72" s="98">
        <v>0.875</v>
      </c>
      <c r="V72" s="101"/>
      <c r="W72" s="101"/>
      <c r="X72" s="101">
        <f t="shared" si="4"/>
        <v>0.875</v>
      </c>
      <c r="Y72" s="111">
        <v>7.07</v>
      </c>
      <c r="Z72" s="106" t="str">
        <f t="shared" si="5"/>
        <v>S</v>
      </c>
    </row>
    <row r="73" spans="1:26" s="107" customFormat="1">
      <c r="A73" s="101"/>
      <c r="B73" s="123" t="s">
        <v>766</v>
      </c>
      <c r="C73" s="98">
        <v>2013</v>
      </c>
      <c r="D73" s="101"/>
      <c r="E73" s="99" t="s">
        <v>172</v>
      </c>
      <c r="F73" s="98">
        <v>2011</v>
      </c>
      <c r="G73" s="98" t="s">
        <v>631</v>
      </c>
      <c r="H73" s="101" t="s">
        <v>159</v>
      </c>
      <c r="I73" s="101" t="s">
        <v>1014</v>
      </c>
      <c r="J73" s="115" t="s">
        <v>1013</v>
      </c>
      <c r="K73" s="98" t="s">
        <v>1091</v>
      </c>
      <c r="L73" s="98" t="s">
        <v>978</v>
      </c>
      <c r="M73" s="101"/>
      <c r="N73" s="101"/>
      <c r="O73" s="101" t="s">
        <v>977</v>
      </c>
      <c r="P73" s="101"/>
      <c r="Q73" s="101"/>
      <c r="R73" s="101"/>
      <c r="S73" s="101"/>
      <c r="T73" s="101"/>
      <c r="U73" s="98">
        <v>0.875</v>
      </c>
      <c r="V73" s="101"/>
      <c r="W73" s="101"/>
      <c r="X73" s="101">
        <f t="shared" si="4"/>
        <v>0.875</v>
      </c>
      <c r="Y73" s="111">
        <v>8.09</v>
      </c>
      <c r="Z73" s="106" t="str">
        <f t="shared" si="5"/>
        <v>S</v>
      </c>
    </row>
    <row r="74" spans="1:26" s="107" customFormat="1">
      <c r="A74" s="101"/>
      <c r="B74" s="123" t="s">
        <v>766</v>
      </c>
      <c r="C74" s="98">
        <v>2013</v>
      </c>
      <c r="D74" s="101"/>
      <c r="E74" s="99" t="s">
        <v>172</v>
      </c>
      <c r="F74" s="98">
        <v>2011</v>
      </c>
      <c r="G74" s="98" t="s">
        <v>631</v>
      </c>
      <c r="H74" s="101" t="s">
        <v>159</v>
      </c>
      <c r="I74" s="101" t="s">
        <v>1014</v>
      </c>
      <c r="J74" s="115" t="s">
        <v>1013</v>
      </c>
      <c r="K74" s="98" t="s">
        <v>1091</v>
      </c>
      <c r="L74" s="98" t="s">
        <v>974</v>
      </c>
      <c r="M74" s="101"/>
      <c r="N74" s="101"/>
      <c r="O74" s="101" t="s">
        <v>972</v>
      </c>
      <c r="P74" s="101"/>
      <c r="Q74" s="101"/>
      <c r="R74" s="101"/>
      <c r="S74" s="101"/>
      <c r="T74" s="101"/>
      <c r="U74" s="98">
        <v>0.875</v>
      </c>
      <c r="V74" s="101"/>
      <c r="W74" s="101"/>
      <c r="X74" s="101">
        <f t="shared" si="4"/>
        <v>0.875</v>
      </c>
      <c r="Y74" s="111">
        <v>9.5</v>
      </c>
      <c r="Z74" s="106" t="str">
        <f t="shared" si="5"/>
        <v>S</v>
      </c>
    </row>
    <row r="75" spans="1:26" s="107" customFormat="1">
      <c r="A75" s="101"/>
      <c r="B75" s="123" t="s">
        <v>766</v>
      </c>
      <c r="C75" s="98">
        <v>2013</v>
      </c>
      <c r="D75" s="101"/>
      <c r="E75" s="99" t="s">
        <v>172</v>
      </c>
      <c r="F75" s="98">
        <v>2011</v>
      </c>
      <c r="G75" s="98" t="s">
        <v>631</v>
      </c>
      <c r="H75" s="101" t="s">
        <v>159</v>
      </c>
      <c r="I75" s="101" t="s">
        <v>1014</v>
      </c>
      <c r="J75" s="115" t="s">
        <v>1013</v>
      </c>
      <c r="K75" s="98" t="s">
        <v>1091</v>
      </c>
      <c r="L75" s="98" t="s">
        <v>978</v>
      </c>
      <c r="M75" s="101"/>
      <c r="N75" s="101"/>
      <c r="O75" s="101" t="s">
        <v>977</v>
      </c>
      <c r="P75" s="101"/>
      <c r="Q75" s="101"/>
      <c r="R75" s="101"/>
      <c r="S75" s="101"/>
      <c r="T75" s="101"/>
      <c r="U75" s="98">
        <v>0.873</v>
      </c>
      <c r="V75" s="101"/>
      <c r="W75" s="101"/>
      <c r="X75" s="101">
        <f t="shared" si="4"/>
        <v>0.873</v>
      </c>
      <c r="Y75" s="111">
        <v>7.46</v>
      </c>
      <c r="Z75" s="106" t="str">
        <f t="shared" si="5"/>
        <v>S</v>
      </c>
    </row>
    <row r="76" spans="1:26" s="107" customFormat="1">
      <c r="A76" s="101"/>
      <c r="B76" s="123" t="s">
        <v>766</v>
      </c>
      <c r="C76" s="98">
        <v>2013</v>
      </c>
      <c r="D76" s="101"/>
      <c r="E76" s="99" t="s">
        <v>172</v>
      </c>
      <c r="F76" s="98">
        <v>2011</v>
      </c>
      <c r="G76" s="98" t="s">
        <v>631</v>
      </c>
      <c r="H76" s="101" t="s">
        <v>159</v>
      </c>
      <c r="I76" s="101" t="s">
        <v>1014</v>
      </c>
      <c r="J76" s="115" t="s">
        <v>1013</v>
      </c>
      <c r="K76" s="98" t="s">
        <v>1091</v>
      </c>
      <c r="L76" s="98" t="s">
        <v>978</v>
      </c>
      <c r="M76" s="101"/>
      <c r="N76" s="101"/>
      <c r="O76" s="101" t="s">
        <v>977</v>
      </c>
      <c r="P76" s="101"/>
      <c r="Q76" s="101"/>
      <c r="R76" s="101"/>
      <c r="S76" s="101"/>
      <c r="T76" s="101"/>
      <c r="U76" s="98">
        <v>0.871</v>
      </c>
      <c r="V76" s="101"/>
      <c r="W76" s="101"/>
      <c r="X76" s="101">
        <f t="shared" si="4"/>
        <v>0.871</v>
      </c>
      <c r="Y76" s="111">
        <v>7.7</v>
      </c>
      <c r="Z76" s="106" t="str">
        <f t="shared" si="5"/>
        <v>S</v>
      </c>
    </row>
    <row r="77" spans="1:26" s="107" customFormat="1">
      <c r="A77" s="101"/>
      <c r="B77" s="123" t="s">
        <v>766</v>
      </c>
      <c r="C77" s="98">
        <v>2013</v>
      </c>
      <c r="D77" s="101"/>
      <c r="E77" s="99" t="s">
        <v>172</v>
      </c>
      <c r="F77" s="98">
        <v>2011</v>
      </c>
      <c r="G77" s="98" t="s">
        <v>631</v>
      </c>
      <c r="H77" s="101" t="s">
        <v>159</v>
      </c>
      <c r="I77" s="101" t="s">
        <v>1014</v>
      </c>
      <c r="J77" s="115" t="s">
        <v>1013</v>
      </c>
      <c r="K77" s="98" t="s">
        <v>1091</v>
      </c>
      <c r="L77" s="98" t="s">
        <v>974</v>
      </c>
      <c r="M77" s="101"/>
      <c r="N77" s="101"/>
      <c r="O77" s="101" t="s">
        <v>972</v>
      </c>
      <c r="P77" s="101"/>
      <c r="Q77" s="101"/>
      <c r="R77" s="101"/>
      <c r="S77" s="101"/>
      <c r="T77" s="101"/>
      <c r="U77" s="98">
        <v>0.871</v>
      </c>
      <c r="V77" s="101"/>
      <c r="W77" s="101"/>
      <c r="X77" s="101">
        <f t="shared" si="4"/>
        <v>0.871</v>
      </c>
      <c r="Y77" s="111">
        <v>8.5299999999999994</v>
      </c>
      <c r="Z77" s="106" t="str">
        <f t="shared" si="5"/>
        <v>S</v>
      </c>
    </row>
    <row r="78" spans="1:26" s="107" customFormat="1">
      <c r="A78" s="101"/>
      <c r="B78" s="123" t="s">
        <v>766</v>
      </c>
      <c r="C78" s="98">
        <v>2013</v>
      </c>
      <c r="D78" s="101"/>
      <c r="E78" s="99" t="s">
        <v>172</v>
      </c>
      <c r="F78" s="98">
        <v>2011</v>
      </c>
      <c r="G78" s="98" t="s">
        <v>631</v>
      </c>
      <c r="H78" s="101" t="s">
        <v>159</v>
      </c>
      <c r="I78" s="101" t="s">
        <v>1014</v>
      </c>
      <c r="J78" s="115" t="s">
        <v>1013</v>
      </c>
      <c r="K78" s="98" t="s">
        <v>1091</v>
      </c>
      <c r="L78" s="98" t="s">
        <v>978</v>
      </c>
      <c r="M78" s="101"/>
      <c r="N78" s="101"/>
      <c r="O78" s="101" t="s">
        <v>977</v>
      </c>
      <c r="P78" s="101"/>
      <c r="Q78" s="101"/>
      <c r="R78" s="101"/>
      <c r="S78" s="101"/>
      <c r="T78" s="101"/>
      <c r="U78" s="98">
        <v>0.86899999999999999</v>
      </c>
      <c r="V78" s="101"/>
      <c r="W78" s="101"/>
      <c r="X78" s="101">
        <f t="shared" si="4"/>
        <v>0.86899999999999999</v>
      </c>
      <c r="Y78" s="111">
        <v>8.7100000000000009</v>
      </c>
      <c r="Z78" s="106" t="str">
        <f t="shared" si="5"/>
        <v>S</v>
      </c>
    </row>
    <row r="79" spans="1:26" s="107" customFormat="1">
      <c r="A79" s="101"/>
      <c r="B79" s="123" t="s">
        <v>766</v>
      </c>
      <c r="C79" s="98">
        <v>2013</v>
      </c>
      <c r="D79" s="101"/>
      <c r="E79" s="99" t="s">
        <v>172</v>
      </c>
      <c r="F79" s="98">
        <v>2011</v>
      </c>
      <c r="G79" s="98" t="s">
        <v>631</v>
      </c>
      <c r="H79" s="101" t="s">
        <v>159</v>
      </c>
      <c r="I79" s="101" t="s">
        <v>1014</v>
      </c>
      <c r="J79" s="115" t="s">
        <v>1013</v>
      </c>
      <c r="K79" s="98" t="s">
        <v>1091</v>
      </c>
      <c r="L79" s="98" t="s">
        <v>974</v>
      </c>
      <c r="M79" s="101"/>
      <c r="N79" s="101"/>
      <c r="O79" s="101" t="s">
        <v>972</v>
      </c>
      <c r="P79" s="101"/>
      <c r="Q79" s="101"/>
      <c r="R79" s="101"/>
      <c r="S79" s="101"/>
      <c r="T79" s="101"/>
      <c r="U79" s="98">
        <v>0.86899999999999999</v>
      </c>
      <c r="V79" s="101"/>
      <c r="W79" s="101"/>
      <c r="X79" s="101">
        <f t="shared" si="4"/>
        <v>0.86899999999999999</v>
      </c>
      <c r="Y79" s="111">
        <v>9</v>
      </c>
      <c r="Z79" s="106" t="str">
        <f t="shared" si="5"/>
        <v>S</v>
      </c>
    </row>
    <row r="80" spans="1:26" s="107" customFormat="1">
      <c r="A80" s="101"/>
      <c r="B80" s="123" t="s">
        <v>766</v>
      </c>
      <c r="C80" s="98">
        <v>2013</v>
      </c>
      <c r="D80" s="101"/>
      <c r="E80" s="99" t="s">
        <v>172</v>
      </c>
      <c r="F80" s="98">
        <v>2011</v>
      </c>
      <c r="G80" s="98" t="s">
        <v>631</v>
      </c>
      <c r="H80" s="101" t="s">
        <v>159</v>
      </c>
      <c r="I80" s="101" t="s">
        <v>1014</v>
      </c>
      <c r="J80" s="115" t="s">
        <v>1013</v>
      </c>
      <c r="K80" s="98" t="s">
        <v>1091</v>
      </c>
      <c r="L80" s="98" t="s">
        <v>978</v>
      </c>
      <c r="M80" s="101"/>
      <c r="N80" s="101"/>
      <c r="O80" s="101" t="s">
        <v>977</v>
      </c>
      <c r="P80" s="101"/>
      <c r="Q80" s="101"/>
      <c r="R80" s="101"/>
      <c r="S80" s="101"/>
      <c r="T80" s="101"/>
      <c r="U80" s="98">
        <v>0.86599999999999999</v>
      </c>
      <c r="V80" s="101"/>
      <c r="W80" s="101"/>
      <c r="X80" s="101">
        <f t="shared" si="4"/>
        <v>0.86599999999999999</v>
      </c>
      <c r="Y80" s="111">
        <v>8.1300000000000008</v>
      </c>
      <c r="Z80" s="106" t="str">
        <f t="shared" si="5"/>
        <v>S</v>
      </c>
    </row>
    <row r="81" spans="1:33" s="107" customFormat="1">
      <c r="A81" s="101"/>
      <c r="B81" s="123" t="s">
        <v>766</v>
      </c>
      <c r="C81" s="98">
        <v>2013</v>
      </c>
      <c r="D81" s="101"/>
      <c r="E81" s="99" t="s">
        <v>172</v>
      </c>
      <c r="F81" s="98">
        <v>2011</v>
      </c>
      <c r="G81" s="98" t="s">
        <v>631</v>
      </c>
      <c r="H81" s="101" t="s">
        <v>159</v>
      </c>
      <c r="I81" s="101" t="s">
        <v>1014</v>
      </c>
      <c r="J81" s="115" t="s">
        <v>1013</v>
      </c>
      <c r="K81" s="98" t="s">
        <v>1091</v>
      </c>
      <c r="L81" s="98" t="s">
        <v>975</v>
      </c>
      <c r="M81" s="101"/>
      <c r="N81" s="101"/>
      <c r="O81" s="101" t="s">
        <v>976</v>
      </c>
      <c r="P81" s="101"/>
      <c r="Q81" s="101"/>
      <c r="R81" s="101"/>
      <c r="S81" s="101"/>
      <c r="T81" s="101"/>
      <c r="U81" s="98">
        <v>0.86599999999999999</v>
      </c>
      <c r="V81" s="101"/>
      <c r="W81" s="101"/>
      <c r="X81" s="101">
        <f t="shared" si="4"/>
        <v>0.86599999999999999</v>
      </c>
      <c r="Y81" s="111">
        <v>8.57</v>
      </c>
      <c r="Z81" s="106" t="str">
        <f t="shared" si="5"/>
        <v>S</v>
      </c>
    </row>
    <row r="82" spans="1:33" s="107" customFormat="1">
      <c r="A82" s="101"/>
      <c r="B82" s="123" t="s">
        <v>766</v>
      </c>
      <c r="C82" s="98">
        <v>2013</v>
      </c>
      <c r="D82" s="101"/>
      <c r="E82" s="99" t="s">
        <v>172</v>
      </c>
      <c r="F82" s="98">
        <v>2011</v>
      </c>
      <c r="G82" s="98" t="s">
        <v>631</v>
      </c>
      <c r="H82" s="101" t="s">
        <v>159</v>
      </c>
      <c r="I82" s="101" t="s">
        <v>1014</v>
      </c>
      <c r="J82" s="115" t="s">
        <v>1013</v>
      </c>
      <c r="K82" s="98" t="s">
        <v>1091</v>
      </c>
      <c r="L82" s="98" t="s">
        <v>978</v>
      </c>
      <c r="M82" s="101"/>
      <c r="N82" s="101"/>
      <c r="O82" s="101" t="s">
        <v>977</v>
      </c>
      <c r="P82" s="101"/>
      <c r="Q82" s="101"/>
      <c r="R82" s="101"/>
      <c r="S82" s="101"/>
      <c r="T82" s="101"/>
      <c r="U82" s="98">
        <v>0.86499999999999999</v>
      </c>
      <c r="V82" s="101"/>
      <c r="W82" s="101"/>
      <c r="X82" s="101">
        <f t="shared" si="4"/>
        <v>0.86499999999999999</v>
      </c>
      <c r="Y82" s="111">
        <v>8.65</v>
      </c>
      <c r="Z82" s="106" t="str">
        <f t="shared" si="5"/>
        <v>S</v>
      </c>
    </row>
    <row r="83" spans="1:33" s="107" customFormat="1">
      <c r="A83" s="101"/>
      <c r="B83" s="123" t="s">
        <v>766</v>
      </c>
      <c r="C83" s="98">
        <v>2013</v>
      </c>
      <c r="D83" s="101"/>
      <c r="E83" s="99" t="s">
        <v>172</v>
      </c>
      <c r="F83" s="98">
        <v>2011</v>
      </c>
      <c r="G83" s="98" t="s">
        <v>631</v>
      </c>
      <c r="H83" s="101" t="s">
        <v>159</v>
      </c>
      <c r="I83" s="101" t="s">
        <v>1014</v>
      </c>
      <c r="J83" s="115" t="s">
        <v>1013</v>
      </c>
      <c r="K83" s="98" t="s">
        <v>1091</v>
      </c>
      <c r="L83" s="98" t="s">
        <v>978</v>
      </c>
      <c r="M83" s="101"/>
      <c r="N83" s="101"/>
      <c r="O83" s="101" t="s">
        <v>977</v>
      </c>
      <c r="P83" s="101"/>
      <c r="Q83" s="101"/>
      <c r="R83" s="101"/>
      <c r="S83" s="101"/>
      <c r="T83" s="101"/>
      <c r="U83" s="98">
        <v>0.86399999999999999</v>
      </c>
      <c r="V83" s="101"/>
      <c r="W83" s="101"/>
      <c r="X83" s="101">
        <f t="shared" si="4"/>
        <v>0.86399999999999999</v>
      </c>
      <c r="Y83" s="111">
        <v>8.52</v>
      </c>
      <c r="Z83" s="106" t="str">
        <f t="shared" si="5"/>
        <v>S</v>
      </c>
    </row>
    <row r="84" spans="1:33" s="107" customFormat="1">
      <c r="A84" s="101"/>
      <c r="B84" s="123" t="s">
        <v>766</v>
      </c>
      <c r="C84" s="98">
        <v>2013</v>
      </c>
      <c r="D84" s="101"/>
      <c r="E84" s="99" t="s">
        <v>172</v>
      </c>
      <c r="F84" s="98">
        <v>2011</v>
      </c>
      <c r="G84" s="98" t="s">
        <v>631</v>
      </c>
      <c r="H84" s="101" t="s">
        <v>159</v>
      </c>
      <c r="I84" s="101" t="s">
        <v>1014</v>
      </c>
      <c r="J84" s="115" t="s">
        <v>1013</v>
      </c>
      <c r="K84" s="98" t="s">
        <v>1091</v>
      </c>
      <c r="L84" s="98" t="s">
        <v>978</v>
      </c>
      <c r="M84" s="101"/>
      <c r="N84" s="101"/>
      <c r="O84" s="101" t="s">
        <v>977</v>
      </c>
      <c r="P84" s="101"/>
      <c r="Q84" s="101"/>
      <c r="R84" s="101"/>
      <c r="S84" s="101"/>
      <c r="T84" s="101"/>
      <c r="U84" s="98">
        <v>0.86299999999999999</v>
      </c>
      <c r="V84" s="101"/>
      <c r="W84" s="101"/>
      <c r="X84" s="101">
        <f t="shared" si="4"/>
        <v>0.86299999999999999</v>
      </c>
      <c r="Y84" s="111">
        <v>8.14</v>
      </c>
      <c r="Z84" s="106" t="str">
        <f t="shared" si="5"/>
        <v>S</v>
      </c>
    </row>
    <row r="85" spans="1:33" s="107" customFormat="1">
      <c r="A85" s="101"/>
      <c r="B85" s="123" t="s">
        <v>766</v>
      </c>
      <c r="C85" s="98">
        <v>2013</v>
      </c>
      <c r="D85" s="101"/>
      <c r="E85" s="99" t="s">
        <v>172</v>
      </c>
      <c r="F85" s="98">
        <v>2011</v>
      </c>
      <c r="G85" s="98" t="s">
        <v>631</v>
      </c>
      <c r="H85" s="101" t="s">
        <v>159</v>
      </c>
      <c r="I85" s="101" t="s">
        <v>1014</v>
      </c>
      <c r="J85" s="115" t="s">
        <v>1013</v>
      </c>
      <c r="K85" s="98" t="s">
        <v>1091</v>
      </c>
      <c r="L85" s="98" t="s">
        <v>978</v>
      </c>
      <c r="M85" s="101"/>
      <c r="N85" s="101"/>
      <c r="O85" s="101" t="s">
        <v>977</v>
      </c>
      <c r="P85" s="101"/>
      <c r="Q85" s="101"/>
      <c r="R85" s="101"/>
      <c r="S85" s="101"/>
      <c r="T85" s="101"/>
      <c r="U85" s="98">
        <v>0.86299999999999999</v>
      </c>
      <c r="V85" s="101"/>
      <c r="W85" s="101"/>
      <c r="X85" s="101">
        <f t="shared" si="4"/>
        <v>0.86299999999999999</v>
      </c>
      <c r="Y85" s="111">
        <v>8.17</v>
      </c>
      <c r="Z85" s="106" t="str">
        <f t="shared" si="5"/>
        <v>S</v>
      </c>
    </row>
    <row r="86" spans="1:33" s="107" customFormat="1">
      <c r="A86" s="101"/>
      <c r="B86" s="123" t="s">
        <v>766</v>
      </c>
      <c r="C86" s="98">
        <v>2013</v>
      </c>
      <c r="D86" s="101"/>
      <c r="E86" s="99" t="s">
        <v>172</v>
      </c>
      <c r="F86" s="98">
        <v>2011</v>
      </c>
      <c r="G86" s="98" t="s">
        <v>631</v>
      </c>
      <c r="H86" s="101" t="s">
        <v>159</v>
      </c>
      <c r="I86" s="101" t="s">
        <v>1014</v>
      </c>
      <c r="J86" s="115" t="s">
        <v>1013</v>
      </c>
      <c r="K86" s="98" t="s">
        <v>1091</v>
      </c>
      <c r="L86" s="98" t="s">
        <v>974</v>
      </c>
      <c r="M86" s="101"/>
      <c r="N86" s="101"/>
      <c r="O86" s="101" t="s">
        <v>972</v>
      </c>
      <c r="P86" s="101"/>
      <c r="Q86" s="101"/>
      <c r="R86" s="101"/>
      <c r="S86" s="101"/>
      <c r="T86" s="101"/>
      <c r="U86" s="98">
        <v>0.84899999999999998</v>
      </c>
      <c r="V86" s="101"/>
      <c r="W86" s="101"/>
      <c r="X86" s="101">
        <f t="shared" si="4"/>
        <v>0.84899999999999998</v>
      </c>
      <c r="Y86" s="111">
        <v>12.09</v>
      </c>
      <c r="Z86" s="106" t="str">
        <f t="shared" si="5"/>
        <v>S</v>
      </c>
    </row>
    <row r="87" spans="1:33" s="107" customFormat="1">
      <c r="A87" s="101"/>
      <c r="B87" s="123" t="s">
        <v>766</v>
      </c>
      <c r="C87" s="98">
        <v>2013</v>
      </c>
      <c r="D87" s="101"/>
      <c r="E87" s="99" t="s">
        <v>172</v>
      </c>
      <c r="F87" s="98">
        <v>2011</v>
      </c>
      <c r="G87" s="98" t="s">
        <v>631</v>
      </c>
      <c r="H87" s="101" t="s">
        <v>159</v>
      </c>
      <c r="I87" s="101" t="s">
        <v>1014</v>
      </c>
      <c r="J87" s="115" t="s">
        <v>1013</v>
      </c>
      <c r="K87" s="98" t="s">
        <v>1091</v>
      </c>
      <c r="L87" s="98" t="s">
        <v>974</v>
      </c>
      <c r="M87" s="101"/>
      <c r="N87" s="101"/>
      <c r="O87" s="101" t="s">
        <v>972</v>
      </c>
      <c r="P87" s="101"/>
      <c r="Q87" s="101"/>
      <c r="R87" s="101"/>
      <c r="S87" s="101"/>
      <c r="T87" s="101"/>
      <c r="U87" s="98">
        <v>0.84499999999999997</v>
      </c>
      <c r="V87" s="101"/>
      <c r="W87" s="101"/>
      <c r="X87" s="101">
        <f t="shared" si="4"/>
        <v>0.84499999999999997</v>
      </c>
      <c r="Y87" s="111">
        <v>9.4600000000000009</v>
      </c>
      <c r="Z87" s="106" t="str">
        <f t="shared" si="5"/>
        <v>S</v>
      </c>
    </row>
    <row r="88" spans="1:33" s="45" customFormat="1">
      <c r="A88" s="53">
        <v>63</v>
      </c>
      <c r="B88" s="60" t="s">
        <v>168</v>
      </c>
      <c r="C88" s="60">
        <v>1989</v>
      </c>
      <c r="D88" s="60" t="s">
        <v>169</v>
      </c>
      <c r="E88" s="56" t="s">
        <v>172</v>
      </c>
      <c r="F88" s="54" t="s">
        <v>179</v>
      </c>
      <c r="G88" s="54" t="s">
        <v>153</v>
      </c>
      <c r="H88" s="54" t="s">
        <v>95</v>
      </c>
      <c r="I88" s="54" t="s">
        <v>1014</v>
      </c>
      <c r="J88" s="66" t="s">
        <v>1013</v>
      </c>
      <c r="K88" s="54" t="s">
        <v>1042</v>
      </c>
      <c r="L88" s="54" t="s">
        <v>180</v>
      </c>
      <c r="M88" s="54"/>
      <c r="N88" s="54"/>
      <c r="O88" s="54" t="s">
        <v>155</v>
      </c>
      <c r="P88" s="54"/>
      <c r="Q88" s="54"/>
      <c r="R88" s="54"/>
      <c r="S88" s="54"/>
      <c r="T88" s="54"/>
      <c r="U88" s="54"/>
      <c r="V88" s="54"/>
      <c r="W88" s="54"/>
      <c r="X88" s="66" t="str">
        <f t="shared" si="4"/>
        <v/>
      </c>
      <c r="Y88" s="72">
        <v>2.6</v>
      </c>
      <c r="Z88" s="192" t="str">
        <f t="shared" si="5"/>
        <v/>
      </c>
      <c r="AA88" s="293"/>
      <c r="AB88" s="293" t="s">
        <v>1206</v>
      </c>
      <c r="AC88" s="293" t="s">
        <v>1207</v>
      </c>
      <c r="AD88" s="293" t="s">
        <v>1208</v>
      </c>
      <c r="AE88" s="293" t="s">
        <v>1209</v>
      </c>
      <c r="AF88" s="293" t="s">
        <v>1210</v>
      </c>
      <c r="AG88" s="293" t="s">
        <v>1211</v>
      </c>
    </row>
    <row r="89" spans="1:33" s="45" customFormat="1">
      <c r="A89" s="53">
        <v>63</v>
      </c>
      <c r="B89" s="60" t="s">
        <v>168</v>
      </c>
      <c r="C89" s="60">
        <v>1989</v>
      </c>
      <c r="D89" s="60" t="s">
        <v>169</v>
      </c>
      <c r="E89" s="56" t="s">
        <v>172</v>
      </c>
      <c r="F89" s="69">
        <v>32022</v>
      </c>
      <c r="G89" s="54" t="s">
        <v>176</v>
      </c>
      <c r="H89" s="54" t="s">
        <v>95</v>
      </c>
      <c r="I89" s="54" t="s">
        <v>1014</v>
      </c>
      <c r="J89" s="66" t="s">
        <v>1013</v>
      </c>
      <c r="K89" s="54" t="s">
        <v>1042</v>
      </c>
      <c r="L89" s="54" t="s">
        <v>177</v>
      </c>
      <c r="M89" s="54"/>
      <c r="N89" s="54"/>
      <c r="O89" s="54" t="s">
        <v>178</v>
      </c>
      <c r="P89" s="54"/>
      <c r="Q89" s="54"/>
      <c r="R89" s="54"/>
      <c r="S89" s="54"/>
      <c r="T89" s="54"/>
      <c r="U89" s="54"/>
      <c r="V89" s="54"/>
      <c r="W89" s="54"/>
      <c r="X89" s="66" t="str">
        <f t="shared" si="4"/>
        <v/>
      </c>
      <c r="Y89" s="72">
        <v>3</v>
      </c>
      <c r="Z89" s="192" t="str">
        <f t="shared" si="5"/>
        <v/>
      </c>
      <c r="AA89" s="305" t="s">
        <v>1316</v>
      </c>
      <c r="AB89" s="299">
        <f>AVERAGE($Y$90:$Y$94)</f>
        <v>2.8820000000000001</v>
      </c>
      <c r="AC89" s="299">
        <f>MEDIAN($Y$90:$Y$94)</f>
        <v>2.5</v>
      </c>
      <c r="AD89" s="299">
        <f>MAX($Y$90:$Y$94)</f>
        <v>5.51</v>
      </c>
      <c r="AE89" s="299">
        <f>MIN($Y$90:$Y$94)</f>
        <v>0.9</v>
      </c>
      <c r="AF89" s="299">
        <f>STDEV($Y$90:$Y$94)</f>
        <v>2.0700531394145414</v>
      </c>
      <c r="AG89" s="293">
        <f>COUNT($Y$90:$Y$94)</f>
        <v>5</v>
      </c>
    </row>
    <row r="90" spans="1:33" s="45" customFormat="1">
      <c r="A90" s="53"/>
      <c r="B90" s="290" t="s">
        <v>1276</v>
      </c>
      <c r="C90" s="291">
        <v>1989</v>
      </c>
      <c r="D90" s="66"/>
      <c r="E90" s="60" t="s">
        <v>49</v>
      </c>
      <c r="F90" s="54"/>
      <c r="G90" s="54"/>
      <c r="H90" s="54"/>
      <c r="I90" s="54"/>
      <c r="J90" s="257" t="s">
        <v>1013</v>
      </c>
      <c r="K90" s="257" t="s">
        <v>1257</v>
      </c>
      <c r="L90" s="54"/>
      <c r="M90" s="54"/>
      <c r="N90" s="54"/>
      <c r="O90" s="45" t="s">
        <v>1268</v>
      </c>
      <c r="P90" s="54"/>
      <c r="Q90" s="54"/>
      <c r="R90" s="45">
        <v>0.95099999999999996</v>
      </c>
      <c r="S90" s="54"/>
      <c r="T90" s="54"/>
      <c r="U90" s="54"/>
      <c r="V90" s="54"/>
      <c r="W90" s="54"/>
      <c r="X90" s="66">
        <f t="shared" si="4"/>
        <v>0.95099999999999996</v>
      </c>
      <c r="Y90" s="45">
        <v>1</v>
      </c>
      <c r="Z90" s="192" t="str">
        <f t="shared" si="5"/>
        <v>F</v>
      </c>
      <c r="AA90" s="305" t="s">
        <v>1317</v>
      </c>
      <c r="AB90" s="299">
        <f>AVERAGE($Y$95:$Y$98)</f>
        <v>7.585</v>
      </c>
      <c r="AC90" s="299">
        <f>MEDIAN($Y$95:$Y$98)</f>
        <v>7.82</v>
      </c>
      <c r="AD90" s="299">
        <f>MAX($Y$95:$Y$98)</f>
        <v>8.1999999999999993</v>
      </c>
      <c r="AE90" s="299">
        <f>MIN($Y$95:$Y$98)</f>
        <v>6.5</v>
      </c>
      <c r="AF90" s="299">
        <f>STDEV($Y$95:$Y$98)</f>
        <v>0.75159829696454195</v>
      </c>
      <c r="AG90" s="300">
        <f>COUNT($Y$95:$Y$98)</f>
        <v>4</v>
      </c>
    </row>
    <row r="91" spans="1:33" s="45" customFormat="1">
      <c r="A91" s="53"/>
      <c r="B91" s="290" t="s">
        <v>1276</v>
      </c>
      <c r="C91" s="291">
        <v>1989</v>
      </c>
      <c r="D91" s="66"/>
      <c r="E91" s="60" t="s">
        <v>49</v>
      </c>
      <c r="F91" s="54"/>
      <c r="G91" s="54"/>
      <c r="H91" s="54"/>
      <c r="I91" s="54"/>
      <c r="J91" s="257" t="s">
        <v>1013</v>
      </c>
      <c r="K91" s="257" t="s">
        <v>1257</v>
      </c>
      <c r="L91" s="54"/>
      <c r="M91" s="54"/>
      <c r="N91" s="54"/>
      <c r="O91" s="45" t="s">
        <v>1269</v>
      </c>
      <c r="P91" s="54"/>
      <c r="Q91" s="54"/>
      <c r="R91" s="45">
        <v>0.94699999999999995</v>
      </c>
      <c r="S91" s="54"/>
      <c r="T91" s="54"/>
      <c r="U91" s="54"/>
      <c r="V91" s="54"/>
      <c r="W91" s="54"/>
      <c r="X91" s="66">
        <f t="shared" si="4"/>
        <v>0.94699999999999995</v>
      </c>
      <c r="Y91" s="45">
        <v>0.9</v>
      </c>
      <c r="Z91" s="192" t="str">
        <f t="shared" si="5"/>
        <v>F</v>
      </c>
    </row>
    <row r="92" spans="1:33" s="45" customFormat="1">
      <c r="A92" s="53"/>
      <c r="B92" s="290" t="s">
        <v>1276</v>
      </c>
      <c r="C92" s="291">
        <v>1989</v>
      </c>
      <c r="D92" s="66"/>
      <c r="E92" s="60" t="s">
        <v>49</v>
      </c>
      <c r="F92" s="54"/>
      <c r="G92" s="54"/>
      <c r="H92" s="54"/>
      <c r="I92" s="54"/>
      <c r="J92" s="257" t="s">
        <v>1013</v>
      </c>
      <c r="K92" s="257" t="s">
        <v>1257</v>
      </c>
      <c r="L92" s="54"/>
      <c r="M92" s="54"/>
      <c r="N92" s="54"/>
      <c r="O92" s="45" t="s">
        <v>1267</v>
      </c>
      <c r="P92" s="54"/>
      <c r="Q92" s="54"/>
      <c r="R92" s="45">
        <v>0.92800000000000005</v>
      </c>
      <c r="S92" s="54"/>
      <c r="T92" s="54"/>
      <c r="U92" s="54"/>
      <c r="V92" s="54"/>
      <c r="W92" s="54"/>
      <c r="X92" s="66">
        <f t="shared" si="4"/>
        <v>0.92800000000000005</v>
      </c>
      <c r="Y92" s="45">
        <v>2.5</v>
      </c>
      <c r="Z92" s="192" t="str">
        <f t="shared" si="5"/>
        <v>F</v>
      </c>
    </row>
    <row r="93" spans="1:33" s="45" customFormat="1">
      <c r="A93" s="53">
        <v>173</v>
      </c>
      <c r="B93" s="54" t="s">
        <v>585</v>
      </c>
      <c r="C93" s="54">
        <v>2011</v>
      </c>
      <c r="D93" s="78" t="s">
        <v>636</v>
      </c>
      <c r="E93" s="56" t="s">
        <v>638</v>
      </c>
      <c r="F93" s="57" t="s">
        <v>656</v>
      </c>
      <c r="G93" s="54" t="s">
        <v>657</v>
      </c>
      <c r="H93" s="54" t="s">
        <v>146</v>
      </c>
      <c r="I93" s="54"/>
      <c r="J93" s="66" t="s">
        <v>1013</v>
      </c>
      <c r="K93" s="54" t="s">
        <v>1082</v>
      </c>
      <c r="L93" s="54" t="s">
        <v>658</v>
      </c>
      <c r="M93" s="59"/>
      <c r="N93" s="59"/>
      <c r="O93" s="54" t="s">
        <v>659</v>
      </c>
      <c r="P93" s="60"/>
      <c r="Q93" s="60"/>
      <c r="R93" s="54"/>
      <c r="S93" s="54"/>
      <c r="T93" s="54"/>
      <c r="U93" s="61">
        <v>0.91300000000000003</v>
      </c>
      <c r="V93" s="61"/>
      <c r="W93" s="61"/>
      <c r="X93" s="66">
        <f t="shared" si="4"/>
        <v>0.91300000000000003</v>
      </c>
      <c r="Y93" s="71">
        <v>5.51</v>
      </c>
      <c r="Z93" s="192" t="str">
        <f t="shared" si="5"/>
        <v>F</v>
      </c>
    </row>
    <row r="94" spans="1:33" s="45" customFormat="1">
      <c r="A94" s="53"/>
      <c r="B94" s="290" t="s">
        <v>1276</v>
      </c>
      <c r="C94" s="291">
        <v>1989</v>
      </c>
      <c r="D94" s="66"/>
      <c r="E94" s="60" t="s">
        <v>49</v>
      </c>
      <c r="F94" s="54"/>
      <c r="G94" s="54"/>
      <c r="H94" s="54"/>
      <c r="I94" s="54"/>
      <c r="J94" s="257" t="s">
        <v>1013</v>
      </c>
      <c r="K94" s="257" t="s">
        <v>1257</v>
      </c>
      <c r="L94" s="54"/>
      <c r="M94" s="54"/>
      <c r="N94" s="54"/>
      <c r="O94" s="45" t="s">
        <v>1274</v>
      </c>
      <c r="P94" s="54"/>
      <c r="Q94" s="54"/>
      <c r="R94" s="45">
        <v>0.9</v>
      </c>
      <c r="S94" s="54"/>
      <c r="T94" s="54"/>
      <c r="U94" s="54"/>
      <c r="V94" s="54"/>
      <c r="W94" s="54"/>
      <c r="X94" s="66">
        <f t="shared" si="4"/>
        <v>0.9</v>
      </c>
      <c r="Y94" s="45">
        <v>4.5</v>
      </c>
      <c r="Z94" s="192" t="str">
        <f t="shared" si="5"/>
        <v>F</v>
      </c>
    </row>
    <row r="95" spans="1:33" s="45" customFormat="1">
      <c r="A95" s="53">
        <v>173</v>
      </c>
      <c r="B95" s="54" t="s">
        <v>585</v>
      </c>
      <c r="C95" s="54">
        <v>2011</v>
      </c>
      <c r="D95" s="78" t="s">
        <v>636</v>
      </c>
      <c r="E95" s="56" t="s">
        <v>638</v>
      </c>
      <c r="F95" s="57" t="s">
        <v>656</v>
      </c>
      <c r="G95" s="54" t="s">
        <v>657</v>
      </c>
      <c r="H95" s="54" t="s">
        <v>146</v>
      </c>
      <c r="I95" s="54"/>
      <c r="J95" s="66" t="s">
        <v>1013</v>
      </c>
      <c r="K95" s="54" t="s">
        <v>1082</v>
      </c>
      <c r="L95" s="54" t="s">
        <v>660</v>
      </c>
      <c r="M95" s="59"/>
      <c r="N95" s="59"/>
      <c r="O95" s="54" t="s">
        <v>661</v>
      </c>
      <c r="P95" s="60"/>
      <c r="Q95" s="60"/>
      <c r="R95" s="54"/>
      <c r="S95" s="54"/>
      <c r="T95" s="54"/>
      <c r="U95" s="61">
        <v>0.88500000000000001</v>
      </c>
      <c r="V95" s="61"/>
      <c r="W95" s="61"/>
      <c r="X95" s="66">
        <f t="shared" si="4"/>
        <v>0.88500000000000001</v>
      </c>
      <c r="Y95" s="71">
        <v>7.94</v>
      </c>
      <c r="Z95" s="192" t="str">
        <f t="shared" si="5"/>
        <v>S</v>
      </c>
    </row>
    <row r="96" spans="1:33" s="45" customFormat="1">
      <c r="A96" s="53"/>
      <c r="B96" s="290" t="s">
        <v>1276</v>
      </c>
      <c r="C96" s="291">
        <v>1989</v>
      </c>
      <c r="D96" s="66"/>
      <c r="E96" s="60" t="s">
        <v>49</v>
      </c>
      <c r="F96" s="54"/>
      <c r="G96" s="54"/>
      <c r="H96" s="54"/>
      <c r="I96" s="54"/>
      <c r="J96" s="257" t="s">
        <v>1013</v>
      </c>
      <c r="K96" s="257" t="s">
        <v>1257</v>
      </c>
      <c r="L96" s="54"/>
      <c r="M96" s="54"/>
      <c r="N96" s="54"/>
      <c r="O96" s="45" t="s">
        <v>1271</v>
      </c>
      <c r="P96" s="54"/>
      <c r="Q96" s="54"/>
      <c r="R96" s="45">
        <v>0.85399999999999998</v>
      </c>
      <c r="S96" s="54"/>
      <c r="T96" s="54"/>
      <c r="U96" s="54"/>
      <c r="V96" s="54"/>
      <c r="W96" s="54"/>
      <c r="X96" s="66">
        <f t="shared" si="4"/>
        <v>0.85399999999999998</v>
      </c>
      <c r="Y96" s="45">
        <v>7.7</v>
      </c>
      <c r="Z96" s="192" t="str">
        <f t="shared" si="5"/>
        <v>S</v>
      </c>
    </row>
    <row r="97" spans="1:33" s="45" customFormat="1">
      <c r="A97" s="53"/>
      <c r="B97" s="290" t="s">
        <v>1276</v>
      </c>
      <c r="C97" s="291">
        <v>1989</v>
      </c>
      <c r="D97" s="66"/>
      <c r="E97" s="60" t="s">
        <v>49</v>
      </c>
      <c r="F97" s="54"/>
      <c r="G97" s="54"/>
      <c r="H97" s="54"/>
      <c r="I97" s="54"/>
      <c r="J97" s="257" t="s">
        <v>1013</v>
      </c>
      <c r="K97" s="257" t="s">
        <v>1257</v>
      </c>
      <c r="L97" s="54"/>
      <c r="M97" s="54"/>
      <c r="N97" s="54"/>
      <c r="O97" s="45" t="s">
        <v>1275</v>
      </c>
      <c r="P97" s="54"/>
      <c r="Q97" s="54"/>
      <c r="R97" s="45">
        <v>0.84699999999999998</v>
      </c>
      <c r="S97" s="54"/>
      <c r="T97" s="54"/>
      <c r="U97" s="54"/>
      <c r="V97" s="54"/>
      <c r="W97" s="54"/>
      <c r="X97" s="66">
        <f t="shared" si="4"/>
        <v>0.84699999999999998</v>
      </c>
      <c r="Y97" s="45">
        <v>8.1999999999999993</v>
      </c>
      <c r="Z97" s="192" t="str">
        <f t="shared" si="5"/>
        <v>S</v>
      </c>
    </row>
    <row r="98" spans="1:33" s="45" customFormat="1">
      <c r="A98" s="53"/>
      <c r="B98" s="290" t="s">
        <v>1276</v>
      </c>
      <c r="C98" s="291">
        <v>1989</v>
      </c>
      <c r="D98" s="66"/>
      <c r="E98" s="60" t="s">
        <v>49</v>
      </c>
      <c r="F98" s="54"/>
      <c r="G98" s="54"/>
      <c r="H98" s="54"/>
      <c r="I98" s="54"/>
      <c r="J98" s="257" t="s">
        <v>1013</v>
      </c>
      <c r="K98" s="257" t="s">
        <v>1257</v>
      </c>
      <c r="L98" s="54"/>
      <c r="M98" s="54"/>
      <c r="N98" s="54"/>
      <c r="O98" s="45" t="s">
        <v>1273</v>
      </c>
      <c r="P98" s="54"/>
      <c r="Q98" s="54"/>
      <c r="R98" s="45">
        <v>0.84099999999999997</v>
      </c>
      <c r="S98" s="54"/>
      <c r="T98" s="54"/>
      <c r="U98" s="54"/>
      <c r="V98" s="54"/>
      <c r="W98" s="54"/>
      <c r="X98" s="66">
        <f t="shared" ref="X98:X129" si="6">IF(R98&lt;&gt;0,IF(R98&gt;1,R98/100,R98),IF(U98&lt;&gt;0,IF(U98&gt;1,U98/100,U98),""))</f>
        <v>0.84099999999999997</v>
      </c>
      <c r="Y98" s="45">
        <v>6.5</v>
      </c>
      <c r="Z98" s="192" t="str">
        <f t="shared" ref="Z98:Z129" si="7">IF(X98&lt;&gt;"",IF(X98&lt;0.9,"S","F"),"")</f>
        <v>S</v>
      </c>
    </row>
    <row r="99" spans="1:33" s="45" customFormat="1">
      <c r="A99" s="53"/>
      <c r="B99" s="290" t="s">
        <v>1276</v>
      </c>
      <c r="C99" s="291">
        <v>1989</v>
      </c>
      <c r="D99" s="66"/>
      <c r="E99" s="60" t="s">
        <v>49</v>
      </c>
      <c r="F99" s="54"/>
      <c r="G99" s="54"/>
      <c r="H99" s="54"/>
      <c r="I99" s="54"/>
      <c r="J99" s="257" t="s">
        <v>1013</v>
      </c>
      <c r="K99" s="257" t="s">
        <v>1257</v>
      </c>
      <c r="L99" s="54"/>
      <c r="M99" s="54"/>
      <c r="N99" s="54"/>
      <c r="O99" s="45" t="s">
        <v>1272</v>
      </c>
      <c r="P99" s="54"/>
      <c r="Q99" s="54"/>
      <c r="R99" s="45">
        <v>0.82199999999999995</v>
      </c>
      <c r="S99" s="54"/>
      <c r="T99" s="54"/>
      <c r="U99" s="54"/>
      <c r="V99" s="54"/>
      <c r="W99" s="54"/>
      <c r="X99" s="66">
        <f t="shared" si="6"/>
        <v>0.82199999999999995</v>
      </c>
      <c r="Y99" s="45">
        <v>10</v>
      </c>
      <c r="Z99" s="192" t="str">
        <f t="shared" si="7"/>
        <v>S</v>
      </c>
    </row>
    <row r="100" spans="1:33" s="45" customFormat="1">
      <c r="A100" s="53"/>
      <c r="B100" s="290" t="s">
        <v>1276</v>
      </c>
      <c r="C100" s="291">
        <v>1989</v>
      </c>
      <c r="D100" s="66"/>
      <c r="E100" s="60" t="s">
        <v>49</v>
      </c>
      <c r="F100" s="54"/>
      <c r="G100" s="54"/>
      <c r="H100" s="54"/>
      <c r="I100" s="54"/>
      <c r="J100" s="257" t="s">
        <v>1013</v>
      </c>
      <c r="K100" s="257" t="s">
        <v>1257</v>
      </c>
      <c r="L100" s="54"/>
      <c r="M100" s="54"/>
      <c r="N100" s="54"/>
      <c r="O100" s="45" t="s">
        <v>1270</v>
      </c>
      <c r="P100" s="54"/>
      <c r="Q100" s="54"/>
      <c r="R100" s="45">
        <v>0.79600000000000004</v>
      </c>
      <c r="S100" s="54"/>
      <c r="T100" s="54"/>
      <c r="U100" s="54"/>
      <c r="V100" s="54"/>
      <c r="W100" s="54"/>
      <c r="X100" s="66">
        <f t="shared" si="6"/>
        <v>0.79600000000000004</v>
      </c>
      <c r="Y100" s="45">
        <v>8.6</v>
      </c>
      <c r="Z100" s="192" t="str">
        <f t="shared" si="7"/>
        <v>S</v>
      </c>
    </row>
    <row r="101" spans="1:33" s="107" customFormat="1">
      <c r="A101" s="97">
        <v>103</v>
      </c>
      <c r="B101" s="103" t="s">
        <v>311</v>
      </c>
      <c r="C101" s="103">
        <v>1994</v>
      </c>
      <c r="D101" s="103" t="s">
        <v>312</v>
      </c>
      <c r="E101" s="99" t="s">
        <v>20</v>
      </c>
      <c r="F101" s="98">
        <v>1995</v>
      </c>
      <c r="G101" s="98"/>
      <c r="H101" s="98"/>
      <c r="I101" s="98"/>
      <c r="J101" s="98" t="s">
        <v>1013</v>
      </c>
      <c r="K101" s="98" t="s">
        <v>1096</v>
      </c>
      <c r="L101" s="98" t="s">
        <v>315</v>
      </c>
      <c r="M101" s="98" t="s">
        <v>316</v>
      </c>
      <c r="N101" s="98"/>
      <c r="O101" s="98" t="s">
        <v>317</v>
      </c>
      <c r="P101" s="98"/>
      <c r="Q101" s="98"/>
      <c r="R101" s="98"/>
      <c r="S101" s="98"/>
      <c r="T101" s="98"/>
      <c r="U101" s="98"/>
      <c r="V101" s="98"/>
      <c r="W101" s="98"/>
      <c r="X101" s="101" t="str">
        <f t="shared" si="6"/>
        <v/>
      </c>
      <c r="Y101" s="111">
        <v>3</v>
      </c>
      <c r="Z101" s="106" t="str">
        <f t="shared" si="7"/>
        <v/>
      </c>
      <c r="AA101" s="150"/>
      <c r="AB101" s="150" t="s">
        <v>1206</v>
      </c>
      <c r="AC101" s="150" t="s">
        <v>1207</v>
      </c>
      <c r="AD101" s="150" t="s">
        <v>1208</v>
      </c>
      <c r="AE101" s="150" t="s">
        <v>1209</v>
      </c>
      <c r="AF101" s="150" t="s">
        <v>1210</v>
      </c>
      <c r="AG101" s="150" t="s">
        <v>1211</v>
      </c>
    </row>
    <row r="102" spans="1:33" s="107" customFormat="1">
      <c r="A102" s="97">
        <v>118</v>
      </c>
      <c r="B102" s="123" t="s">
        <v>399</v>
      </c>
      <c r="C102" s="98">
        <v>1999</v>
      </c>
      <c r="D102" s="123" t="s">
        <v>400</v>
      </c>
      <c r="E102" s="99" t="s">
        <v>20</v>
      </c>
      <c r="F102" s="98">
        <v>1999</v>
      </c>
      <c r="G102" s="98" t="s">
        <v>326</v>
      </c>
      <c r="H102" s="98" t="s">
        <v>159</v>
      </c>
      <c r="I102" s="98"/>
      <c r="J102" s="101" t="s">
        <v>1013</v>
      </c>
      <c r="K102" s="98" t="s">
        <v>1056</v>
      </c>
      <c r="L102" s="98" t="s">
        <v>406</v>
      </c>
      <c r="M102" s="98"/>
      <c r="N102" s="98"/>
      <c r="O102" s="98">
        <v>4</v>
      </c>
      <c r="P102" s="98"/>
      <c r="Q102" s="98"/>
      <c r="R102" s="98"/>
      <c r="S102" s="98"/>
      <c r="T102" s="98"/>
      <c r="U102" s="98">
        <v>0.98</v>
      </c>
      <c r="V102" s="98"/>
      <c r="W102" s="98"/>
      <c r="X102" s="101">
        <f t="shared" si="6"/>
        <v>0.98</v>
      </c>
      <c r="Y102" s="111">
        <v>1.1970000000000001</v>
      </c>
      <c r="Z102" s="106" t="str">
        <f t="shared" si="7"/>
        <v>F</v>
      </c>
      <c r="AA102" s="306" t="s">
        <v>1321</v>
      </c>
      <c r="AB102" s="151">
        <f>AVERAGE($Y$102:$Y$125)</f>
        <v>2.8698975357500003</v>
      </c>
      <c r="AC102" s="151">
        <f>MEDIAN($Y$102:$Y$125)</f>
        <v>3.2107992335000004</v>
      </c>
      <c r="AD102" s="151">
        <f>MAX($Y$102:$Y$125)</f>
        <v>4.4355759929999996</v>
      </c>
      <c r="AE102" s="151">
        <f>MIN($Y$102:$Y$125)</f>
        <v>1.1000000000000001</v>
      </c>
      <c r="AF102" s="151">
        <f>STDEV($Y$102:$Y$125)</f>
        <v>1.087369560157788</v>
      </c>
      <c r="AG102" s="307">
        <f>COUNT($Y$102:$Y$125)</f>
        <v>24</v>
      </c>
    </row>
    <row r="103" spans="1:33" s="107" customFormat="1">
      <c r="A103" s="97">
        <v>118</v>
      </c>
      <c r="B103" s="123" t="s">
        <v>399</v>
      </c>
      <c r="C103" s="98">
        <v>1999</v>
      </c>
      <c r="D103" s="123" t="s">
        <v>400</v>
      </c>
      <c r="E103" s="99" t="s">
        <v>20</v>
      </c>
      <c r="F103" s="98">
        <v>1999</v>
      </c>
      <c r="G103" s="98" t="s">
        <v>326</v>
      </c>
      <c r="H103" s="98" t="s">
        <v>159</v>
      </c>
      <c r="I103" s="98"/>
      <c r="J103" s="124" t="s">
        <v>1013</v>
      </c>
      <c r="K103" s="103" t="s">
        <v>1056</v>
      </c>
      <c r="L103" s="98" t="s">
        <v>403</v>
      </c>
      <c r="M103" s="98"/>
      <c r="N103" s="98"/>
      <c r="O103" s="98">
        <v>1</v>
      </c>
      <c r="P103" s="98"/>
      <c r="Q103" s="98"/>
      <c r="R103" s="98"/>
      <c r="S103" s="98"/>
      <c r="T103" s="98"/>
      <c r="U103" s="98">
        <v>0.97</v>
      </c>
      <c r="V103" s="98"/>
      <c r="W103" s="98"/>
      <c r="X103" s="101">
        <f t="shared" si="6"/>
        <v>0.97</v>
      </c>
      <c r="Y103" s="111">
        <v>1.9390000000000001</v>
      </c>
      <c r="Z103" s="106" t="str">
        <f t="shared" si="7"/>
        <v>F</v>
      </c>
      <c r="AA103" s="306" t="s">
        <v>1322</v>
      </c>
      <c r="AB103" s="151">
        <f>AVERAGE($Y$126:$Y$132)</f>
        <v>5.1561159184285712</v>
      </c>
      <c r="AC103" s="151">
        <f>MEDIAN($Y$126:$Y$132)</f>
        <v>4.8628114289999997</v>
      </c>
      <c r="AD103" s="151">
        <f>MAX($Y$126:$Y$132)</f>
        <v>6.9</v>
      </c>
      <c r="AE103" s="151">
        <f>MIN($Y$126:$Y$132)</f>
        <v>3.6</v>
      </c>
      <c r="AF103" s="151">
        <f>STDEV($Y$126:$Y$132)</f>
        <v>1.2356587611543781</v>
      </c>
      <c r="AG103" s="307">
        <f>COUNT($Y$126:$Y$132)</f>
        <v>7</v>
      </c>
    </row>
    <row r="104" spans="1:33" s="107" customFormat="1">
      <c r="A104" s="97">
        <v>172</v>
      </c>
      <c r="B104" s="98" t="s">
        <v>585</v>
      </c>
      <c r="C104" s="98">
        <v>2010</v>
      </c>
      <c r="D104" s="98" t="s">
        <v>586</v>
      </c>
      <c r="E104" s="99" t="s">
        <v>589</v>
      </c>
      <c r="F104" s="100">
        <v>40235</v>
      </c>
      <c r="G104" s="98" t="s">
        <v>631</v>
      </c>
      <c r="H104" s="98" t="s">
        <v>159</v>
      </c>
      <c r="I104" s="98"/>
      <c r="J104" s="101" t="s">
        <v>1013</v>
      </c>
      <c r="K104" s="98" t="s">
        <v>1069</v>
      </c>
      <c r="L104" s="98" t="s">
        <v>634</v>
      </c>
      <c r="M104" s="109" t="s">
        <v>635</v>
      </c>
      <c r="N104" s="109"/>
      <c r="O104" s="98"/>
      <c r="P104" s="103"/>
      <c r="Q104" s="103"/>
      <c r="R104" s="98"/>
      <c r="S104" s="98"/>
      <c r="T104" s="98"/>
      <c r="U104" s="104">
        <v>0.95899999999999996</v>
      </c>
      <c r="V104" s="104"/>
      <c r="W104" s="104"/>
      <c r="X104" s="101">
        <f t="shared" si="6"/>
        <v>0.95899999999999996</v>
      </c>
      <c r="Y104" s="105">
        <v>1.208</v>
      </c>
      <c r="Z104" s="106" t="str">
        <f t="shared" si="7"/>
        <v>F</v>
      </c>
    </row>
    <row r="105" spans="1:33" s="107" customFormat="1">
      <c r="A105" s="97">
        <v>181</v>
      </c>
      <c r="B105" s="98" t="s">
        <v>766</v>
      </c>
      <c r="C105" s="98">
        <v>2009</v>
      </c>
      <c r="D105" s="112" t="s">
        <v>767</v>
      </c>
      <c r="E105" s="113" t="s">
        <v>49</v>
      </c>
      <c r="F105" s="98"/>
      <c r="G105" s="98" t="s">
        <v>777</v>
      </c>
      <c r="H105" s="115" t="s">
        <v>581</v>
      </c>
      <c r="I105" s="115"/>
      <c r="J105" s="115" t="s">
        <v>1013</v>
      </c>
      <c r="K105" s="115" t="s">
        <v>1096</v>
      </c>
      <c r="L105" s="114" t="s">
        <v>775</v>
      </c>
      <c r="M105" s="114" t="s">
        <v>164</v>
      </c>
      <c r="N105" s="114"/>
      <c r="O105" s="114" t="s">
        <v>868</v>
      </c>
      <c r="P105" s="114"/>
      <c r="Q105" s="114"/>
      <c r="R105" s="98"/>
      <c r="S105" s="98"/>
      <c r="T105" s="98"/>
      <c r="U105" s="129">
        <v>0.94840097300000004</v>
      </c>
      <c r="V105" s="116"/>
      <c r="W105" s="116"/>
      <c r="X105" s="101">
        <f t="shared" si="6"/>
        <v>0.94840097300000004</v>
      </c>
      <c r="Y105" s="117">
        <v>1.620187928</v>
      </c>
      <c r="Z105" s="106" t="str">
        <f t="shared" si="7"/>
        <v>F</v>
      </c>
    </row>
    <row r="106" spans="1:33" s="107" customFormat="1">
      <c r="A106" s="97"/>
      <c r="B106" s="258" t="s">
        <v>1276</v>
      </c>
      <c r="C106" s="259">
        <v>1989</v>
      </c>
      <c r="D106" s="101"/>
      <c r="E106" s="103" t="s">
        <v>49</v>
      </c>
      <c r="F106" s="98"/>
      <c r="G106" s="98"/>
      <c r="H106" s="98"/>
      <c r="I106" s="98"/>
      <c r="J106" s="292" t="s">
        <v>1013</v>
      </c>
      <c r="K106" s="292" t="s">
        <v>1256</v>
      </c>
      <c r="L106" s="98"/>
      <c r="M106" s="98"/>
      <c r="N106" s="98"/>
      <c r="O106" s="107" t="s">
        <v>1260</v>
      </c>
      <c r="P106" s="98"/>
      <c r="Q106" s="98"/>
      <c r="R106" s="107">
        <v>0.94099999999999995</v>
      </c>
      <c r="S106" s="98"/>
      <c r="T106" s="98"/>
      <c r="U106" s="98"/>
      <c r="V106" s="98"/>
      <c r="W106" s="98"/>
      <c r="X106" s="101">
        <f t="shared" si="6"/>
        <v>0.94099999999999995</v>
      </c>
      <c r="Y106" s="107">
        <v>1.1000000000000001</v>
      </c>
      <c r="Z106" s="106" t="str">
        <f t="shared" si="7"/>
        <v>F</v>
      </c>
    </row>
    <row r="107" spans="1:33" s="107" customFormat="1">
      <c r="A107" s="97">
        <v>181</v>
      </c>
      <c r="B107" s="98" t="s">
        <v>766</v>
      </c>
      <c r="C107" s="98">
        <v>2009</v>
      </c>
      <c r="D107" s="112" t="s">
        <v>767</v>
      </c>
      <c r="E107" s="113" t="s">
        <v>49</v>
      </c>
      <c r="F107" s="114" t="s">
        <v>814</v>
      </c>
      <c r="G107" s="98" t="s">
        <v>774</v>
      </c>
      <c r="H107" s="115" t="s">
        <v>581</v>
      </c>
      <c r="I107" s="115"/>
      <c r="J107" s="115" t="s">
        <v>1013</v>
      </c>
      <c r="K107" s="115" t="s">
        <v>1096</v>
      </c>
      <c r="L107" s="114" t="s">
        <v>775</v>
      </c>
      <c r="M107" s="114" t="s">
        <v>164</v>
      </c>
      <c r="N107" s="114"/>
      <c r="O107" s="114" t="s">
        <v>815</v>
      </c>
      <c r="P107" s="114"/>
      <c r="Q107" s="114"/>
      <c r="R107" s="98"/>
      <c r="S107" s="98"/>
      <c r="T107" s="98"/>
      <c r="U107" s="129">
        <v>0.93836761499999999</v>
      </c>
      <c r="V107" s="116"/>
      <c r="W107" s="116"/>
      <c r="X107" s="101">
        <f t="shared" si="6"/>
        <v>0.93836761499999999</v>
      </c>
      <c r="Y107" s="117">
        <v>2.4938022219999998</v>
      </c>
      <c r="Z107" s="106" t="str">
        <f t="shared" si="7"/>
        <v>F</v>
      </c>
    </row>
    <row r="108" spans="1:33" s="107" customFormat="1">
      <c r="A108" s="97">
        <v>181</v>
      </c>
      <c r="B108" s="98" t="s">
        <v>766</v>
      </c>
      <c r="C108" s="98">
        <v>2009</v>
      </c>
      <c r="D108" s="112" t="s">
        <v>767</v>
      </c>
      <c r="E108" s="113" t="s">
        <v>49</v>
      </c>
      <c r="F108" s="114" t="s">
        <v>773</v>
      </c>
      <c r="G108" s="98" t="s">
        <v>774</v>
      </c>
      <c r="H108" s="115" t="s">
        <v>581</v>
      </c>
      <c r="I108" s="115"/>
      <c r="J108" s="115" t="s">
        <v>1013</v>
      </c>
      <c r="K108" s="115" t="s">
        <v>1096</v>
      </c>
      <c r="L108" s="114" t="s">
        <v>775</v>
      </c>
      <c r="M108" s="114" t="s">
        <v>164</v>
      </c>
      <c r="N108" s="114"/>
      <c r="O108" s="114" t="s">
        <v>826</v>
      </c>
      <c r="P108" s="114"/>
      <c r="Q108" s="114"/>
      <c r="R108" s="98"/>
      <c r="S108" s="98"/>
      <c r="T108" s="98"/>
      <c r="U108" s="129">
        <v>0.93163082699999999</v>
      </c>
      <c r="V108" s="116"/>
      <c r="W108" s="116"/>
      <c r="X108" s="101">
        <f t="shared" si="6"/>
        <v>0.93163082699999999</v>
      </c>
      <c r="Y108" s="117">
        <v>2.2861858100000001</v>
      </c>
      <c r="Z108" s="106" t="str">
        <f t="shared" si="7"/>
        <v>F</v>
      </c>
    </row>
    <row r="109" spans="1:33" s="107" customFormat="1">
      <c r="A109" s="97">
        <v>181</v>
      </c>
      <c r="B109" s="98" t="s">
        <v>766</v>
      </c>
      <c r="C109" s="98">
        <v>2009</v>
      </c>
      <c r="D109" s="112" t="s">
        <v>767</v>
      </c>
      <c r="E109" s="113" t="s">
        <v>49</v>
      </c>
      <c r="F109" s="114" t="s">
        <v>806</v>
      </c>
      <c r="G109" s="98" t="s">
        <v>777</v>
      </c>
      <c r="H109" s="115" t="s">
        <v>581</v>
      </c>
      <c r="I109" s="115"/>
      <c r="J109" s="115" t="s">
        <v>1013</v>
      </c>
      <c r="K109" s="115" t="s">
        <v>1096</v>
      </c>
      <c r="L109" s="114" t="s">
        <v>775</v>
      </c>
      <c r="M109" s="114" t="s">
        <v>164</v>
      </c>
      <c r="N109" s="114"/>
      <c r="O109" s="114" t="s">
        <v>807</v>
      </c>
      <c r="P109" s="114"/>
      <c r="Q109" s="114"/>
      <c r="R109" s="98"/>
      <c r="S109" s="98"/>
      <c r="T109" s="98"/>
      <c r="U109" s="129">
        <v>0.92572142999999996</v>
      </c>
      <c r="V109" s="116"/>
      <c r="W109" s="116"/>
      <c r="X109" s="101">
        <f t="shared" si="6"/>
        <v>0.92572142999999996</v>
      </c>
      <c r="Y109" s="117">
        <v>3.3247728580000002</v>
      </c>
      <c r="Z109" s="106" t="str">
        <f t="shared" si="7"/>
        <v>F</v>
      </c>
    </row>
    <row r="110" spans="1:33" s="107" customFormat="1">
      <c r="A110" s="97"/>
      <c r="B110" s="258" t="s">
        <v>1276</v>
      </c>
      <c r="C110" s="259">
        <v>1989</v>
      </c>
      <c r="D110" s="101"/>
      <c r="E110" s="103" t="s">
        <v>49</v>
      </c>
      <c r="F110" s="98"/>
      <c r="G110" s="98"/>
      <c r="H110" s="98"/>
      <c r="I110" s="98"/>
      <c r="J110" s="292" t="s">
        <v>1013</v>
      </c>
      <c r="K110" s="292" t="s">
        <v>1256</v>
      </c>
      <c r="L110" s="98"/>
      <c r="M110" s="98"/>
      <c r="N110" s="98"/>
      <c r="O110" s="107" t="s">
        <v>1259</v>
      </c>
      <c r="P110" s="98"/>
      <c r="Q110" s="98"/>
      <c r="R110" s="107">
        <v>0.92500000000000004</v>
      </c>
      <c r="S110" s="98"/>
      <c r="T110" s="98"/>
      <c r="U110" s="98"/>
      <c r="V110" s="98"/>
      <c r="W110" s="98"/>
      <c r="X110" s="101">
        <f t="shared" si="6"/>
        <v>0.92500000000000004</v>
      </c>
      <c r="Y110" s="107">
        <v>1.5</v>
      </c>
      <c r="Z110" s="106" t="str">
        <f t="shared" si="7"/>
        <v>F</v>
      </c>
    </row>
    <row r="111" spans="1:33" s="107" customFormat="1">
      <c r="A111" s="97">
        <v>181</v>
      </c>
      <c r="B111" s="98" t="s">
        <v>766</v>
      </c>
      <c r="C111" s="98">
        <v>2009</v>
      </c>
      <c r="D111" s="112" t="s">
        <v>767</v>
      </c>
      <c r="E111" s="113" t="s">
        <v>49</v>
      </c>
      <c r="F111" s="114" t="s">
        <v>773</v>
      </c>
      <c r="G111" s="98" t="s">
        <v>832</v>
      </c>
      <c r="H111" s="115" t="s">
        <v>581</v>
      </c>
      <c r="I111" s="115"/>
      <c r="J111" s="115" t="s">
        <v>1013</v>
      </c>
      <c r="K111" s="115" t="s">
        <v>1096</v>
      </c>
      <c r="L111" s="114" t="s">
        <v>775</v>
      </c>
      <c r="M111" s="114" t="s">
        <v>164</v>
      </c>
      <c r="N111" s="114"/>
      <c r="O111" s="114" t="s">
        <v>833</v>
      </c>
      <c r="P111" s="114"/>
      <c r="Q111" s="114"/>
      <c r="R111" s="98"/>
      <c r="S111" s="98"/>
      <c r="T111" s="98"/>
      <c r="U111" s="129">
        <v>0.92401837899999995</v>
      </c>
      <c r="V111" s="116"/>
      <c r="W111" s="116"/>
      <c r="X111" s="101">
        <f t="shared" si="6"/>
        <v>0.92401837899999995</v>
      </c>
      <c r="Y111" s="117">
        <v>2.2641516469999998</v>
      </c>
      <c r="Z111" s="106" t="str">
        <f t="shared" si="7"/>
        <v>F</v>
      </c>
    </row>
    <row r="112" spans="1:33" s="107" customFormat="1">
      <c r="A112" s="97">
        <v>181</v>
      </c>
      <c r="B112" s="98" t="s">
        <v>766</v>
      </c>
      <c r="C112" s="98">
        <v>2009</v>
      </c>
      <c r="D112" s="112" t="s">
        <v>767</v>
      </c>
      <c r="E112" s="113" t="s">
        <v>49</v>
      </c>
      <c r="F112" s="114" t="s">
        <v>820</v>
      </c>
      <c r="G112" s="98" t="s">
        <v>821</v>
      </c>
      <c r="H112" s="115" t="s">
        <v>581</v>
      </c>
      <c r="I112" s="115"/>
      <c r="J112" s="115" t="s">
        <v>1013</v>
      </c>
      <c r="K112" s="115" t="s">
        <v>1096</v>
      </c>
      <c r="L112" s="114" t="s">
        <v>775</v>
      </c>
      <c r="M112" s="114" t="s">
        <v>164</v>
      </c>
      <c r="N112" s="114"/>
      <c r="O112" s="114" t="s">
        <v>822</v>
      </c>
      <c r="P112" s="114"/>
      <c r="Q112" s="114"/>
      <c r="R112" s="98"/>
      <c r="S112" s="98"/>
      <c r="T112" s="98"/>
      <c r="U112" s="129">
        <v>0.92372757000000005</v>
      </c>
      <c r="V112" s="116"/>
      <c r="W112" s="116"/>
      <c r="X112" s="101">
        <f t="shared" si="6"/>
        <v>0.92372757000000005</v>
      </c>
      <c r="Y112" s="117">
        <v>3.1247266319999998</v>
      </c>
      <c r="Z112" s="106" t="str">
        <f t="shared" si="7"/>
        <v>F</v>
      </c>
    </row>
    <row r="113" spans="1:26" s="107" customFormat="1">
      <c r="A113" s="97">
        <v>174</v>
      </c>
      <c r="B113" s="98" t="s">
        <v>697</v>
      </c>
      <c r="C113" s="98">
        <v>2009</v>
      </c>
      <c r="D113" s="108" t="s">
        <v>698</v>
      </c>
      <c r="E113" s="99" t="s">
        <v>20</v>
      </c>
      <c r="F113" s="100" t="s">
        <v>701</v>
      </c>
      <c r="G113" s="98" t="s">
        <v>705</v>
      </c>
      <c r="H113" s="98" t="s">
        <v>159</v>
      </c>
      <c r="I113" s="98"/>
      <c r="J113" s="101" t="s">
        <v>1013</v>
      </c>
      <c r="K113" s="98" t="s">
        <v>1096</v>
      </c>
      <c r="L113" s="98" t="s">
        <v>715</v>
      </c>
      <c r="M113" s="109"/>
      <c r="N113" s="109"/>
      <c r="O113" s="98" t="s">
        <v>715</v>
      </c>
      <c r="P113" s="103"/>
      <c r="Q113" s="103"/>
      <c r="R113" s="98"/>
      <c r="S113" s="98"/>
      <c r="T113" s="98"/>
      <c r="U113" s="104">
        <v>0.92</v>
      </c>
      <c r="V113" s="104"/>
      <c r="W113" s="104"/>
      <c r="X113" s="101">
        <f t="shared" si="6"/>
        <v>0.92</v>
      </c>
      <c r="Y113" s="110">
        <v>3.2</v>
      </c>
      <c r="Z113" s="106" t="str">
        <f t="shared" si="7"/>
        <v>F</v>
      </c>
    </row>
    <row r="114" spans="1:26" s="107" customFormat="1">
      <c r="A114" s="97">
        <v>181</v>
      </c>
      <c r="B114" s="98" t="s">
        <v>766</v>
      </c>
      <c r="C114" s="98">
        <v>2009</v>
      </c>
      <c r="D114" s="112" t="s">
        <v>767</v>
      </c>
      <c r="E114" s="113" t="s">
        <v>49</v>
      </c>
      <c r="F114" s="114" t="s">
        <v>806</v>
      </c>
      <c r="G114" s="98" t="s">
        <v>821</v>
      </c>
      <c r="H114" s="115" t="s">
        <v>581</v>
      </c>
      <c r="I114" s="115"/>
      <c r="J114" s="115" t="s">
        <v>1013</v>
      </c>
      <c r="K114" s="115" t="s">
        <v>1096</v>
      </c>
      <c r="L114" s="114" t="s">
        <v>775</v>
      </c>
      <c r="M114" s="114" t="s">
        <v>164</v>
      </c>
      <c r="N114" s="114"/>
      <c r="O114" s="114" t="s">
        <v>823</v>
      </c>
      <c r="P114" s="114"/>
      <c r="Q114" s="114"/>
      <c r="R114" s="98"/>
      <c r="S114" s="98"/>
      <c r="T114" s="98"/>
      <c r="U114" s="129">
        <v>0.91865929800000001</v>
      </c>
      <c r="V114" s="116"/>
      <c r="W114" s="116"/>
      <c r="X114" s="101">
        <f t="shared" si="6"/>
        <v>0.91865929800000001</v>
      </c>
      <c r="Y114" s="117">
        <v>3.5297411639999998</v>
      </c>
      <c r="Z114" s="106" t="str">
        <f t="shared" si="7"/>
        <v>F</v>
      </c>
    </row>
    <row r="115" spans="1:26" s="107" customFormat="1">
      <c r="A115" s="97">
        <v>181</v>
      </c>
      <c r="B115" s="98" t="s">
        <v>766</v>
      </c>
      <c r="C115" s="98">
        <v>2009</v>
      </c>
      <c r="D115" s="112" t="s">
        <v>767</v>
      </c>
      <c r="E115" s="113" t="s">
        <v>49</v>
      </c>
      <c r="F115" s="114" t="s">
        <v>780</v>
      </c>
      <c r="G115" s="98" t="s">
        <v>786</v>
      </c>
      <c r="H115" s="115" t="s">
        <v>159</v>
      </c>
      <c r="I115" s="115"/>
      <c r="J115" s="115" t="s">
        <v>1013</v>
      </c>
      <c r="K115" s="115" t="s">
        <v>1096</v>
      </c>
      <c r="L115" s="114" t="s">
        <v>782</v>
      </c>
      <c r="M115" s="114" t="s">
        <v>164</v>
      </c>
      <c r="N115" s="114"/>
      <c r="O115" s="114" t="s">
        <v>840</v>
      </c>
      <c r="P115" s="114"/>
      <c r="Q115" s="114"/>
      <c r="R115" s="98"/>
      <c r="S115" s="98"/>
      <c r="T115" s="98"/>
      <c r="U115" s="129">
        <v>0.91831407899999995</v>
      </c>
      <c r="V115" s="116"/>
      <c r="W115" s="116"/>
      <c r="X115" s="101">
        <f t="shared" si="6"/>
        <v>0.91831407899999995</v>
      </c>
      <c r="Y115" s="117">
        <v>4.3846507209999999</v>
      </c>
      <c r="Z115" s="106" t="str">
        <f t="shared" si="7"/>
        <v>F</v>
      </c>
    </row>
    <row r="116" spans="1:26" s="107" customFormat="1">
      <c r="A116" s="97">
        <v>181</v>
      </c>
      <c r="B116" s="98" t="s">
        <v>766</v>
      </c>
      <c r="C116" s="98">
        <v>2009</v>
      </c>
      <c r="D116" s="112" t="s">
        <v>767</v>
      </c>
      <c r="E116" s="113" t="s">
        <v>49</v>
      </c>
      <c r="F116" s="114" t="s">
        <v>806</v>
      </c>
      <c r="G116" s="98" t="s">
        <v>777</v>
      </c>
      <c r="H116" s="115" t="s">
        <v>581</v>
      </c>
      <c r="I116" s="115"/>
      <c r="J116" s="115" t="s">
        <v>1013</v>
      </c>
      <c r="K116" s="115" t="s">
        <v>1096</v>
      </c>
      <c r="L116" s="114" t="s">
        <v>775</v>
      </c>
      <c r="M116" s="114" t="s">
        <v>164</v>
      </c>
      <c r="N116" s="114"/>
      <c r="O116" s="114" t="s">
        <v>828</v>
      </c>
      <c r="P116" s="114"/>
      <c r="Q116" s="114"/>
      <c r="R116" s="98"/>
      <c r="S116" s="98"/>
      <c r="T116" s="98"/>
      <c r="U116" s="129">
        <v>0.91809654699999999</v>
      </c>
      <c r="V116" s="116"/>
      <c r="W116" s="116"/>
      <c r="X116" s="101">
        <f t="shared" si="6"/>
        <v>0.91809654699999999</v>
      </c>
      <c r="Y116" s="117">
        <v>3.5255023080000001</v>
      </c>
      <c r="Z116" s="106" t="str">
        <f t="shared" si="7"/>
        <v>F</v>
      </c>
    </row>
    <row r="117" spans="1:26" s="107" customFormat="1">
      <c r="A117" s="97">
        <v>181</v>
      </c>
      <c r="B117" s="98" t="s">
        <v>766</v>
      </c>
      <c r="C117" s="98">
        <v>2009</v>
      </c>
      <c r="D117" s="112" t="s">
        <v>767</v>
      </c>
      <c r="E117" s="112" t="s">
        <v>49</v>
      </c>
      <c r="F117" s="119"/>
      <c r="G117" s="98" t="s">
        <v>777</v>
      </c>
      <c r="H117" s="108" t="s">
        <v>581</v>
      </c>
      <c r="I117" s="108"/>
      <c r="J117" s="115" t="s">
        <v>1013</v>
      </c>
      <c r="K117" s="115" t="s">
        <v>1096</v>
      </c>
      <c r="L117" s="119" t="s">
        <v>775</v>
      </c>
      <c r="M117" s="119" t="s">
        <v>164</v>
      </c>
      <c r="N117" s="119"/>
      <c r="O117" s="119" t="s">
        <v>779</v>
      </c>
      <c r="P117" s="119"/>
      <c r="Q117" s="119"/>
      <c r="R117" s="98"/>
      <c r="S117" s="98"/>
      <c r="T117" s="98"/>
      <c r="U117" s="130">
        <v>0.91637743400000005</v>
      </c>
      <c r="V117" s="120"/>
      <c r="W117" s="120"/>
      <c r="X117" s="101">
        <f t="shared" si="6"/>
        <v>0.91637743400000005</v>
      </c>
      <c r="Y117" s="121">
        <v>3.2215984670000002</v>
      </c>
      <c r="Z117" s="106" t="str">
        <f t="shared" si="7"/>
        <v>F</v>
      </c>
    </row>
    <row r="118" spans="1:26" s="107" customFormat="1">
      <c r="A118" s="97">
        <v>181</v>
      </c>
      <c r="B118" s="98" t="s">
        <v>766</v>
      </c>
      <c r="C118" s="98">
        <v>2009</v>
      </c>
      <c r="D118" s="112" t="s">
        <v>767</v>
      </c>
      <c r="E118" s="113" t="s">
        <v>49</v>
      </c>
      <c r="F118" s="114"/>
      <c r="G118" s="98" t="s">
        <v>777</v>
      </c>
      <c r="H118" s="115" t="s">
        <v>581</v>
      </c>
      <c r="I118" s="115"/>
      <c r="J118" s="115" t="s">
        <v>1013</v>
      </c>
      <c r="K118" s="115" t="s">
        <v>1096</v>
      </c>
      <c r="L118" s="114" t="s">
        <v>775</v>
      </c>
      <c r="M118" s="114" t="s">
        <v>164</v>
      </c>
      <c r="N118" s="114"/>
      <c r="O118" s="114" t="s">
        <v>779</v>
      </c>
      <c r="P118" s="114"/>
      <c r="Q118" s="114"/>
      <c r="R118" s="98"/>
      <c r="S118" s="98"/>
      <c r="T118" s="98"/>
      <c r="U118" s="129">
        <v>0.91637743400000005</v>
      </c>
      <c r="V118" s="116"/>
      <c r="W118" s="116"/>
      <c r="X118" s="101">
        <f t="shared" si="6"/>
        <v>0.91637743400000005</v>
      </c>
      <c r="Y118" s="117">
        <v>3.2215984670000002</v>
      </c>
      <c r="Z118" s="106" t="str">
        <f t="shared" si="7"/>
        <v>F</v>
      </c>
    </row>
    <row r="119" spans="1:26" s="107" customFormat="1">
      <c r="A119" s="97">
        <v>181</v>
      </c>
      <c r="B119" s="98" t="s">
        <v>766</v>
      </c>
      <c r="C119" s="98">
        <v>2009</v>
      </c>
      <c r="D119" s="112" t="s">
        <v>767</v>
      </c>
      <c r="E119" s="113" t="s">
        <v>49</v>
      </c>
      <c r="F119" s="114" t="s">
        <v>780</v>
      </c>
      <c r="G119" s="98" t="s">
        <v>781</v>
      </c>
      <c r="H119" s="115" t="s">
        <v>95</v>
      </c>
      <c r="I119" s="115"/>
      <c r="J119" s="108" t="s">
        <v>1013</v>
      </c>
      <c r="K119" s="108" t="s">
        <v>1096</v>
      </c>
      <c r="L119" s="114" t="s">
        <v>782</v>
      </c>
      <c r="M119" s="114" t="s">
        <v>783</v>
      </c>
      <c r="N119" s="114" t="s">
        <v>784</v>
      </c>
      <c r="O119" s="114" t="s">
        <v>803</v>
      </c>
      <c r="P119" s="114"/>
      <c r="Q119" s="114"/>
      <c r="R119" s="98"/>
      <c r="S119" s="98"/>
      <c r="T119" s="98"/>
      <c r="U119" s="129">
        <v>0.91620070099999995</v>
      </c>
      <c r="V119" s="116"/>
      <c r="W119" s="116"/>
      <c r="X119" s="101">
        <f t="shared" si="6"/>
        <v>0.91620070099999995</v>
      </c>
      <c r="Y119" s="117">
        <v>4.01</v>
      </c>
      <c r="Z119" s="106" t="str">
        <f t="shared" si="7"/>
        <v>F</v>
      </c>
    </row>
    <row r="120" spans="1:26" s="107" customFormat="1">
      <c r="A120" s="97">
        <v>181</v>
      </c>
      <c r="B120" s="98" t="s">
        <v>766</v>
      </c>
      <c r="C120" s="98">
        <v>2009</v>
      </c>
      <c r="D120" s="112" t="s">
        <v>767</v>
      </c>
      <c r="E120" s="113" t="s">
        <v>49</v>
      </c>
      <c r="F120" s="114" t="s">
        <v>829</v>
      </c>
      <c r="G120" s="98" t="s">
        <v>786</v>
      </c>
      <c r="H120" s="115" t="s">
        <v>159</v>
      </c>
      <c r="I120" s="115"/>
      <c r="J120" s="115" t="s">
        <v>1013</v>
      </c>
      <c r="K120" s="115" t="s">
        <v>1096</v>
      </c>
      <c r="L120" s="114" t="s">
        <v>782</v>
      </c>
      <c r="M120" s="114" t="s">
        <v>164</v>
      </c>
      <c r="N120" s="114"/>
      <c r="O120" s="114" t="s">
        <v>830</v>
      </c>
      <c r="P120" s="114"/>
      <c r="Q120" s="114"/>
      <c r="R120" s="98"/>
      <c r="S120" s="98"/>
      <c r="T120" s="98"/>
      <c r="U120" s="129">
        <v>0.91426053399999996</v>
      </c>
      <c r="V120" s="116"/>
      <c r="W120" s="116"/>
      <c r="X120" s="101">
        <f t="shared" si="6"/>
        <v>0.91426053399999996</v>
      </c>
      <c r="Y120" s="117">
        <v>4.0168301120000001</v>
      </c>
      <c r="Z120" s="106" t="str">
        <f t="shared" si="7"/>
        <v>F</v>
      </c>
    </row>
    <row r="121" spans="1:26" s="107" customFormat="1">
      <c r="A121" s="97"/>
      <c r="B121" s="258" t="s">
        <v>1276</v>
      </c>
      <c r="C121" s="259">
        <v>1989</v>
      </c>
      <c r="D121" s="101"/>
      <c r="E121" s="103" t="s">
        <v>49</v>
      </c>
      <c r="F121" s="98"/>
      <c r="G121" s="98"/>
      <c r="H121" s="98"/>
      <c r="I121" s="98"/>
      <c r="J121" s="292" t="s">
        <v>1013</v>
      </c>
      <c r="K121" s="292" t="s">
        <v>1256</v>
      </c>
      <c r="L121" s="98"/>
      <c r="M121" s="98"/>
      <c r="N121" s="98"/>
      <c r="O121" s="107" t="s">
        <v>1258</v>
      </c>
      <c r="P121" s="98"/>
      <c r="Q121" s="98"/>
      <c r="R121" s="107">
        <v>0.91400000000000003</v>
      </c>
      <c r="S121" s="98"/>
      <c r="T121" s="98"/>
      <c r="U121" s="98"/>
      <c r="V121" s="98"/>
      <c r="W121" s="98"/>
      <c r="X121" s="101">
        <f t="shared" si="6"/>
        <v>0.91400000000000003</v>
      </c>
      <c r="Y121" s="107">
        <v>1.8</v>
      </c>
      <c r="Z121" s="106" t="str">
        <f t="shared" si="7"/>
        <v>F</v>
      </c>
    </row>
    <row r="122" spans="1:26" s="107" customFormat="1">
      <c r="A122" s="97">
        <v>181</v>
      </c>
      <c r="B122" s="98" t="s">
        <v>766</v>
      </c>
      <c r="C122" s="98">
        <v>2009</v>
      </c>
      <c r="D122" s="112" t="s">
        <v>767</v>
      </c>
      <c r="E122" s="113" t="s">
        <v>49</v>
      </c>
      <c r="F122" s="114" t="s">
        <v>773</v>
      </c>
      <c r="G122" s="98" t="s">
        <v>777</v>
      </c>
      <c r="H122" s="115" t="s">
        <v>581</v>
      </c>
      <c r="I122" s="115"/>
      <c r="J122" s="115" t="s">
        <v>1013</v>
      </c>
      <c r="K122" s="115" t="s">
        <v>1096</v>
      </c>
      <c r="L122" s="114" t="s">
        <v>775</v>
      </c>
      <c r="M122" s="114" t="s">
        <v>164</v>
      </c>
      <c r="N122" s="114"/>
      <c r="O122" s="114" t="s">
        <v>778</v>
      </c>
      <c r="P122" s="114"/>
      <c r="Q122" s="114"/>
      <c r="R122" s="98"/>
      <c r="S122" s="98"/>
      <c r="T122" s="98"/>
      <c r="U122" s="129">
        <v>0.91048192400000005</v>
      </c>
      <c r="V122" s="116"/>
      <c r="W122" s="116"/>
      <c r="X122" s="101">
        <f t="shared" si="6"/>
        <v>0.91048192400000005</v>
      </c>
      <c r="Y122" s="117">
        <v>4.3662318300000003</v>
      </c>
      <c r="Z122" s="106" t="str">
        <f t="shared" si="7"/>
        <v>F</v>
      </c>
    </row>
    <row r="123" spans="1:26" s="107" customFormat="1">
      <c r="A123" s="97">
        <v>181</v>
      </c>
      <c r="B123" s="98" t="s">
        <v>766</v>
      </c>
      <c r="C123" s="98">
        <v>2009</v>
      </c>
      <c r="D123" s="112" t="s">
        <v>767</v>
      </c>
      <c r="E123" s="112" t="s">
        <v>49</v>
      </c>
      <c r="F123" s="119" t="s">
        <v>780</v>
      </c>
      <c r="G123" s="98" t="s">
        <v>786</v>
      </c>
      <c r="H123" s="108" t="s">
        <v>159</v>
      </c>
      <c r="I123" s="108"/>
      <c r="J123" s="115" t="s">
        <v>1013</v>
      </c>
      <c r="K123" s="115" t="s">
        <v>1096</v>
      </c>
      <c r="L123" s="119" t="s">
        <v>782</v>
      </c>
      <c r="M123" s="119" t="s">
        <v>164</v>
      </c>
      <c r="N123" s="119"/>
      <c r="O123" s="119" t="s">
        <v>787</v>
      </c>
      <c r="P123" s="119"/>
      <c r="Q123" s="119"/>
      <c r="R123" s="98"/>
      <c r="S123" s="98"/>
      <c r="T123" s="98"/>
      <c r="U123" s="130">
        <v>0.90993638700000001</v>
      </c>
      <c r="V123" s="120"/>
      <c r="W123" s="120"/>
      <c r="X123" s="101">
        <f t="shared" si="6"/>
        <v>0.90993638700000001</v>
      </c>
      <c r="Y123" s="121">
        <v>4.4355759929999996</v>
      </c>
      <c r="Z123" s="106" t="str">
        <f t="shared" si="7"/>
        <v>F</v>
      </c>
    </row>
    <row r="124" spans="1:26" s="107" customFormat="1">
      <c r="A124" s="97">
        <v>181</v>
      </c>
      <c r="B124" s="98" t="s">
        <v>766</v>
      </c>
      <c r="C124" s="98">
        <v>2009</v>
      </c>
      <c r="D124" s="112" t="s">
        <v>767</v>
      </c>
      <c r="E124" s="112" t="s">
        <v>49</v>
      </c>
      <c r="F124" s="119" t="s">
        <v>780</v>
      </c>
      <c r="G124" s="98" t="s">
        <v>781</v>
      </c>
      <c r="H124" s="108" t="s">
        <v>95</v>
      </c>
      <c r="I124" s="108"/>
      <c r="J124" s="108" t="s">
        <v>1013</v>
      </c>
      <c r="K124" s="108" t="s">
        <v>1096</v>
      </c>
      <c r="L124" s="119" t="s">
        <v>782</v>
      </c>
      <c r="M124" s="119" t="s">
        <v>783</v>
      </c>
      <c r="N124" s="119" t="s">
        <v>784</v>
      </c>
      <c r="O124" s="119" t="s">
        <v>785</v>
      </c>
      <c r="P124" s="119"/>
      <c r="Q124" s="119"/>
      <c r="R124" s="98"/>
      <c r="S124" s="98"/>
      <c r="T124" s="98"/>
      <c r="U124" s="130">
        <v>0.90572357999999997</v>
      </c>
      <c r="V124" s="120"/>
      <c r="W124" s="120"/>
      <c r="X124" s="101">
        <f t="shared" si="6"/>
        <v>0.90572357999999997</v>
      </c>
      <c r="Y124" s="121">
        <v>3.8483435080000001</v>
      </c>
      <c r="Z124" s="106" t="str">
        <f t="shared" si="7"/>
        <v>F</v>
      </c>
    </row>
    <row r="125" spans="1:26" s="107" customFormat="1">
      <c r="A125" s="97">
        <v>181</v>
      </c>
      <c r="B125" s="98" t="s">
        <v>766</v>
      </c>
      <c r="C125" s="98">
        <v>2009</v>
      </c>
      <c r="D125" s="112" t="s">
        <v>767</v>
      </c>
      <c r="E125" s="113" t="s">
        <v>49</v>
      </c>
      <c r="F125" s="114" t="s">
        <v>780</v>
      </c>
      <c r="G125" s="98" t="s">
        <v>786</v>
      </c>
      <c r="H125" s="115" t="s">
        <v>159</v>
      </c>
      <c r="I125" s="115"/>
      <c r="J125" s="115" t="s">
        <v>1013</v>
      </c>
      <c r="K125" s="115" t="s">
        <v>1096</v>
      </c>
      <c r="L125" s="114" t="s">
        <v>782</v>
      </c>
      <c r="M125" s="114" t="s">
        <v>164</v>
      </c>
      <c r="N125" s="114"/>
      <c r="O125" s="114" t="s">
        <v>813</v>
      </c>
      <c r="P125" s="114"/>
      <c r="Q125" s="114"/>
      <c r="R125" s="98"/>
      <c r="S125" s="98"/>
      <c r="T125" s="98"/>
      <c r="U125" s="129">
        <v>0.90398989900000004</v>
      </c>
      <c r="V125" s="116"/>
      <c r="W125" s="116"/>
      <c r="X125" s="101">
        <f t="shared" si="6"/>
        <v>0.90398989900000004</v>
      </c>
      <c r="Y125" s="117">
        <v>3.259641191</v>
      </c>
      <c r="Z125" s="106" t="str">
        <f t="shared" si="7"/>
        <v>F</v>
      </c>
    </row>
    <row r="126" spans="1:26" s="107" customFormat="1">
      <c r="A126" s="97">
        <v>181</v>
      </c>
      <c r="B126" s="98" t="s">
        <v>766</v>
      </c>
      <c r="C126" s="98">
        <v>2009</v>
      </c>
      <c r="D126" s="112" t="s">
        <v>767</v>
      </c>
      <c r="E126" s="113" t="s">
        <v>49</v>
      </c>
      <c r="F126" s="114" t="s">
        <v>780</v>
      </c>
      <c r="G126" s="98" t="s">
        <v>781</v>
      </c>
      <c r="H126" s="115" t="s">
        <v>95</v>
      </c>
      <c r="I126" s="115"/>
      <c r="J126" s="108" t="s">
        <v>1013</v>
      </c>
      <c r="K126" s="108" t="s">
        <v>1096</v>
      </c>
      <c r="L126" s="114" t="s">
        <v>782</v>
      </c>
      <c r="M126" s="114" t="s">
        <v>783</v>
      </c>
      <c r="N126" s="114" t="s">
        <v>784</v>
      </c>
      <c r="O126" s="114" t="s">
        <v>816</v>
      </c>
      <c r="P126" s="114"/>
      <c r="Q126" s="114"/>
      <c r="R126" s="98"/>
      <c r="S126" s="98"/>
      <c r="T126" s="98"/>
      <c r="U126" s="129">
        <v>0.89980392300000001</v>
      </c>
      <c r="V126" s="116"/>
      <c r="W126" s="116"/>
      <c r="X126" s="101">
        <f t="shared" si="6"/>
        <v>0.89980392300000001</v>
      </c>
      <c r="Y126" s="117">
        <v>5.23</v>
      </c>
      <c r="Z126" s="106" t="str">
        <f t="shared" si="7"/>
        <v>S</v>
      </c>
    </row>
    <row r="127" spans="1:26" s="107" customFormat="1">
      <c r="A127" s="97"/>
      <c r="B127" s="258" t="s">
        <v>1276</v>
      </c>
      <c r="C127" s="259">
        <v>1989</v>
      </c>
      <c r="D127" s="101"/>
      <c r="E127" s="103" t="s">
        <v>49</v>
      </c>
      <c r="F127" s="98"/>
      <c r="G127" s="98"/>
      <c r="H127" s="98"/>
      <c r="I127" s="98"/>
      <c r="J127" s="292" t="s">
        <v>1013</v>
      </c>
      <c r="K127" s="292" t="s">
        <v>1256</v>
      </c>
      <c r="L127" s="98"/>
      <c r="M127" s="98"/>
      <c r="N127" s="98"/>
      <c r="O127" s="107" t="s">
        <v>1265</v>
      </c>
      <c r="P127" s="98"/>
      <c r="Q127" s="98"/>
      <c r="R127" s="107">
        <v>0.89300000000000002</v>
      </c>
      <c r="S127" s="98"/>
      <c r="T127" s="98"/>
      <c r="U127" s="98"/>
      <c r="V127" s="98"/>
      <c r="W127" s="98"/>
      <c r="X127" s="101">
        <f t="shared" si="6"/>
        <v>0.89300000000000002</v>
      </c>
      <c r="Y127" s="107">
        <v>3.6</v>
      </c>
      <c r="Z127" s="106" t="str">
        <f t="shared" si="7"/>
        <v>S</v>
      </c>
    </row>
    <row r="128" spans="1:26" s="107" customFormat="1">
      <c r="A128" s="97">
        <v>181</v>
      </c>
      <c r="B128" s="98" t="s">
        <v>766</v>
      </c>
      <c r="C128" s="98">
        <v>2009</v>
      </c>
      <c r="D128" s="112" t="s">
        <v>767</v>
      </c>
      <c r="E128" s="113" t="s">
        <v>49</v>
      </c>
      <c r="F128" s="114" t="s">
        <v>773</v>
      </c>
      <c r="G128" s="98" t="s">
        <v>774</v>
      </c>
      <c r="H128" s="115" t="s">
        <v>581</v>
      </c>
      <c r="I128" s="115"/>
      <c r="J128" s="115" t="s">
        <v>1013</v>
      </c>
      <c r="K128" s="115" t="s">
        <v>1096</v>
      </c>
      <c r="L128" s="114" t="s">
        <v>775</v>
      </c>
      <c r="M128" s="114" t="s">
        <v>164</v>
      </c>
      <c r="N128" s="114"/>
      <c r="O128" s="114" t="s">
        <v>776</v>
      </c>
      <c r="P128" s="114"/>
      <c r="Q128" s="114"/>
      <c r="R128" s="98"/>
      <c r="S128" s="98"/>
      <c r="T128" s="98"/>
      <c r="U128" s="129">
        <v>0.88962645699999998</v>
      </c>
      <c r="V128" s="116"/>
      <c r="W128" s="116"/>
      <c r="X128" s="101">
        <f t="shared" si="6"/>
        <v>0.88962645699999998</v>
      </c>
      <c r="Y128" s="117">
        <v>4.8628114289999997</v>
      </c>
      <c r="Z128" s="106" t="str">
        <f t="shared" si="7"/>
        <v>S</v>
      </c>
    </row>
    <row r="129" spans="1:33" s="107" customFormat="1">
      <c r="A129" s="97"/>
      <c r="B129" s="258" t="s">
        <v>1276</v>
      </c>
      <c r="C129" s="259">
        <v>1989</v>
      </c>
      <c r="D129" s="101"/>
      <c r="E129" s="103" t="s">
        <v>49</v>
      </c>
      <c r="F129" s="98"/>
      <c r="G129" s="98"/>
      <c r="H129" s="98"/>
      <c r="I129" s="98"/>
      <c r="J129" s="292" t="s">
        <v>1013</v>
      </c>
      <c r="K129" s="292" t="s">
        <v>1256</v>
      </c>
      <c r="L129" s="98"/>
      <c r="M129" s="98"/>
      <c r="N129" s="98"/>
      <c r="O129" s="107" t="s">
        <v>1266</v>
      </c>
      <c r="P129" s="98"/>
      <c r="Q129" s="98"/>
      <c r="R129" s="107">
        <v>0.88200000000000001</v>
      </c>
      <c r="S129" s="98"/>
      <c r="T129" s="98"/>
      <c r="U129" s="98"/>
      <c r="V129" s="98"/>
      <c r="W129" s="98"/>
      <c r="X129" s="101">
        <f t="shared" si="6"/>
        <v>0.88200000000000001</v>
      </c>
      <c r="Y129" s="107">
        <v>4.2</v>
      </c>
      <c r="Z129" s="106" t="str">
        <f t="shared" si="7"/>
        <v>S</v>
      </c>
    </row>
    <row r="130" spans="1:33" s="107" customFormat="1">
      <c r="A130" s="97"/>
      <c r="B130" s="258" t="s">
        <v>1276</v>
      </c>
      <c r="C130" s="259">
        <v>1989</v>
      </c>
      <c r="D130" s="101"/>
      <c r="E130" s="103" t="s">
        <v>49</v>
      </c>
      <c r="F130" s="98"/>
      <c r="G130" s="98"/>
      <c r="H130" s="98"/>
      <c r="I130" s="98"/>
      <c r="J130" s="292" t="s">
        <v>1013</v>
      </c>
      <c r="K130" s="292" t="s">
        <v>1256</v>
      </c>
      <c r="L130" s="98"/>
      <c r="M130" s="98"/>
      <c r="N130" s="98"/>
      <c r="O130" s="107" t="s">
        <v>1264</v>
      </c>
      <c r="P130" s="98"/>
      <c r="Q130" s="98"/>
      <c r="R130" s="107">
        <v>0.84199999999999997</v>
      </c>
      <c r="S130" s="98"/>
      <c r="T130" s="98"/>
      <c r="U130" s="98"/>
      <c r="V130" s="98"/>
      <c r="W130" s="98"/>
      <c r="X130" s="101">
        <f t="shared" ref="X130:X161" si="8">IF(R130&lt;&gt;0,IF(R130&gt;1,R130/100,R130),IF(U130&lt;&gt;0,IF(U130&gt;1,U130/100,U130),""))</f>
        <v>0.84199999999999997</v>
      </c>
      <c r="Y130" s="107">
        <v>4.5999999999999996</v>
      </c>
      <c r="Z130" s="106" t="str">
        <f t="shared" ref="Z130:Z137" si="9">IF(X130&lt;&gt;"",IF(X130&lt;0.9,"S","F"),"")</f>
        <v>S</v>
      </c>
    </row>
    <row r="131" spans="1:33" s="107" customFormat="1">
      <c r="A131" s="97"/>
      <c r="B131" s="258" t="s">
        <v>1276</v>
      </c>
      <c r="C131" s="259">
        <v>1989</v>
      </c>
      <c r="D131" s="101"/>
      <c r="E131" s="103" t="s">
        <v>49</v>
      </c>
      <c r="F131" s="98"/>
      <c r="G131" s="98"/>
      <c r="H131" s="98"/>
      <c r="I131" s="98"/>
      <c r="J131" s="292" t="s">
        <v>1013</v>
      </c>
      <c r="K131" s="292" t="s">
        <v>1256</v>
      </c>
      <c r="L131" s="98"/>
      <c r="M131" s="98"/>
      <c r="N131" s="98"/>
      <c r="O131" s="107" t="s">
        <v>1262</v>
      </c>
      <c r="P131" s="98"/>
      <c r="Q131" s="98"/>
      <c r="R131" s="107">
        <v>0.84099999999999997</v>
      </c>
      <c r="S131" s="98"/>
      <c r="T131" s="98"/>
      <c r="U131" s="98"/>
      <c r="V131" s="98"/>
      <c r="W131" s="98"/>
      <c r="X131" s="101">
        <f t="shared" si="8"/>
        <v>0.84099999999999997</v>
      </c>
      <c r="Y131" s="107">
        <v>6.9</v>
      </c>
      <c r="Z131" s="106" t="str">
        <f t="shared" si="9"/>
        <v>S</v>
      </c>
    </row>
    <row r="132" spans="1:33" s="107" customFormat="1">
      <c r="A132" s="97"/>
      <c r="B132" s="258" t="s">
        <v>1276</v>
      </c>
      <c r="C132" s="259">
        <v>1989</v>
      </c>
      <c r="D132" s="101"/>
      <c r="E132" s="103" t="s">
        <v>49</v>
      </c>
      <c r="F132" s="98"/>
      <c r="G132" s="98"/>
      <c r="H132" s="98"/>
      <c r="I132" s="98"/>
      <c r="J132" s="292" t="s">
        <v>1013</v>
      </c>
      <c r="K132" s="292" t="s">
        <v>1256</v>
      </c>
      <c r="L132" s="98"/>
      <c r="M132" s="98"/>
      <c r="N132" s="98"/>
      <c r="O132" s="107" t="s">
        <v>1263</v>
      </c>
      <c r="P132" s="98"/>
      <c r="Q132" s="98"/>
      <c r="R132" s="107">
        <v>0.83199999999999996</v>
      </c>
      <c r="S132" s="98"/>
      <c r="T132" s="98"/>
      <c r="U132" s="98"/>
      <c r="V132" s="98"/>
      <c r="W132" s="98"/>
      <c r="X132" s="101">
        <f t="shared" si="8"/>
        <v>0.83199999999999996</v>
      </c>
      <c r="Y132" s="107">
        <v>6.7</v>
      </c>
      <c r="Z132" s="106" t="str">
        <f t="shared" si="9"/>
        <v>S</v>
      </c>
    </row>
    <row r="133" spans="1:33" s="107" customFormat="1">
      <c r="A133" s="97"/>
      <c r="B133" s="258" t="s">
        <v>1276</v>
      </c>
      <c r="C133" s="259">
        <v>1989</v>
      </c>
      <c r="D133" s="101"/>
      <c r="E133" s="103" t="s">
        <v>49</v>
      </c>
      <c r="F133" s="98"/>
      <c r="G133" s="98"/>
      <c r="H133" s="98"/>
      <c r="I133" s="98"/>
      <c r="J133" s="292" t="s">
        <v>1013</v>
      </c>
      <c r="K133" s="292" t="s">
        <v>1256</v>
      </c>
      <c r="L133" s="98"/>
      <c r="M133" s="98"/>
      <c r="N133" s="98"/>
      <c r="O133" s="107" t="s">
        <v>1261</v>
      </c>
      <c r="P133" s="98"/>
      <c r="Q133" s="98"/>
      <c r="R133" s="107">
        <v>0.75600000000000001</v>
      </c>
      <c r="S133" s="98"/>
      <c r="T133" s="98"/>
      <c r="U133" s="98"/>
      <c r="V133" s="98"/>
      <c r="W133" s="98"/>
      <c r="X133" s="101">
        <f t="shared" si="8"/>
        <v>0.75600000000000001</v>
      </c>
      <c r="Y133" s="107">
        <v>8.1</v>
      </c>
      <c r="Z133" s="106" t="str">
        <f t="shared" si="9"/>
        <v>S</v>
      </c>
    </row>
    <row r="134" spans="1:33" s="45" customFormat="1">
      <c r="A134" s="53">
        <v>46</v>
      </c>
      <c r="B134" s="60" t="s">
        <v>45</v>
      </c>
      <c r="C134" s="60">
        <v>1984</v>
      </c>
      <c r="D134" s="60" t="s">
        <v>113</v>
      </c>
      <c r="E134" s="56" t="s">
        <v>49</v>
      </c>
      <c r="F134" s="54">
        <v>1983</v>
      </c>
      <c r="G134" s="54" t="s">
        <v>116</v>
      </c>
      <c r="H134" s="54" t="s">
        <v>95</v>
      </c>
      <c r="I134" s="54"/>
      <c r="J134" s="54" t="s">
        <v>1013</v>
      </c>
      <c r="K134" s="54" t="s">
        <v>1134</v>
      </c>
      <c r="L134" s="54" t="s">
        <v>117</v>
      </c>
      <c r="M134" s="54"/>
      <c r="N134" s="54"/>
      <c r="O134" s="54" t="s">
        <v>131</v>
      </c>
      <c r="P134" s="54">
        <v>0.9</v>
      </c>
      <c r="Q134" s="54"/>
      <c r="R134" s="54">
        <f>+P134</f>
        <v>0.9</v>
      </c>
      <c r="S134" s="54"/>
      <c r="T134" s="54"/>
      <c r="U134" s="54"/>
      <c r="V134" s="54"/>
      <c r="W134" s="54"/>
      <c r="X134" s="66">
        <f t="shared" si="8"/>
        <v>0.9</v>
      </c>
      <c r="Y134" s="72">
        <v>2.8</v>
      </c>
      <c r="Z134" s="192" t="str">
        <f t="shared" si="9"/>
        <v>F</v>
      </c>
      <c r="AA134" s="293"/>
      <c r="AB134" s="293" t="s">
        <v>1206</v>
      </c>
      <c r="AC134" s="293" t="s">
        <v>1207</v>
      </c>
      <c r="AD134" s="293" t="s">
        <v>1208</v>
      </c>
      <c r="AE134" s="293" t="s">
        <v>1209</v>
      </c>
      <c r="AF134" s="293" t="s">
        <v>1210</v>
      </c>
      <c r="AG134" s="293" t="s">
        <v>1211</v>
      </c>
    </row>
    <row r="135" spans="1:33" s="45" customFormat="1">
      <c r="A135" s="53">
        <v>35</v>
      </c>
      <c r="B135" s="60" t="s">
        <v>45</v>
      </c>
      <c r="C135" s="60">
        <v>1982</v>
      </c>
      <c r="D135" s="60" t="s">
        <v>46</v>
      </c>
      <c r="E135" s="56" t="s">
        <v>49</v>
      </c>
      <c r="F135" s="54" t="s">
        <v>50</v>
      </c>
      <c r="G135" s="54" t="s">
        <v>51</v>
      </c>
      <c r="H135" s="54" t="s">
        <v>23</v>
      </c>
      <c r="I135" s="54"/>
      <c r="J135" s="54" t="s">
        <v>1013</v>
      </c>
      <c r="K135" s="54" t="s">
        <v>1134</v>
      </c>
      <c r="L135" s="54" t="s">
        <v>52</v>
      </c>
      <c r="M135" s="54"/>
      <c r="N135" s="54"/>
      <c r="O135" s="54" t="s">
        <v>67</v>
      </c>
      <c r="P135" s="54">
        <v>0.9</v>
      </c>
      <c r="Q135" s="54"/>
      <c r="R135" s="54">
        <f>+P135</f>
        <v>0.9</v>
      </c>
      <c r="S135" s="54"/>
      <c r="T135" s="54"/>
      <c r="U135" s="54"/>
      <c r="V135" s="54">
        <v>3.4</v>
      </c>
      <c r="W135" s="54"/>
      <c r="X135" s="66">
        <f t="shared" si="8"/>
        <v>0.9</v>
      </c>
      <c r="Y135" s="72">
        <f>+V135</f>
        <v>3.4</v>
      </c>
      <c r="Z135" s="192" t="str">
        <f t="shared" si="9"/>
        <v>F</v>
      </c>
      <c r="AA135" s="305" t="s">
        <v>1325</v>
      </c>
      <c r="AB135" s="299">
        <f>AVERAGE($Y$134:$Y$142)</f>
        <v>2.588888888888889</v>
      </c>
      <c r="AC135" s="299">
        <f>MEDIAN($Y$134:$Y$142)</f>
        <v>2.6</v>
      </c>
      <c r="AD135" s="299">
        <f>MAX($Y$134:$Y$142)</f>
        <v>3.5</v>
      </c>
      <c r="AE135" s="299">
        <f>MIN($Y$134:$Y$142)</f>
        <v>1.4</v>
      </c>
      <c r="AF135" s="299">
        <f>STDEV($Y$134:$Y$142)</f>
        <v>0.63922696369217091</v>
      </c>
      <c r="AG135" s="293">
        <f>COUNT($Y$134:$Y$142)</f>
        <v>9</v>
      </c>
    </row>
    <row r="136" spans="1:33" s="45" customFormat="1">
      <c r="A136" s="53">
        <v>35</v>
      </c>
      <c r="B136" s="60" t="s">
        <v>45</v>
      </c>
      <c r="C136" s="60">
        <v>1982</v>
      </c>
      <c r="D136" s="60" t="s">
        <v>46</v>
      </c>
      <c r="E136" s="56" t="s">
        <v>49</v>
      </c>
      <c r="F136" s="54" t="s">
        <v>50</v>
      </c>
      <c r="G136" s="54" t="s">
        <v>51</v>
      </c>
      <c r="H136" s="54" t="s">
        <v>23</v>
      </c>
      <c r="I136" s="54"/>
      <c r="J136" s="54" t="s">
        <v>1013</v>
      </c>
      <c r="K136" s="54" t="s">
        <v>1134</v>
      </c>
      <c r="L136" s="54" t="s">
        <v>52</v>
      </c>
      <c r="M136" s="54"/>
      <c r="N136" s="54"/>
      <c r="O136" s="54" t="s">
        <v>69</v>
      </c>
      <c r="P136" s="54">
        <v>0.91</v>
      </c>
      <c r="Q136" s="54"/>
      <c r="R136" s="54">
        <f>+P136</f>
        <v>0.91</v>
      </c>
      <c r="S136" s="54"/>
      <c r="T136" s="54"/>
      <c r="U136" s="54"/>
      <c r="V136" s="54">
        <v>2.6</v>
      </c>
      <c r="W136" s="54"/>
      <c r="X136" s="66">
        <f t="shared" si="8"/>
        <v>0.91</v>
      </c>
      <c r="Y136" s="72">
        <f>+V136</f>
        <v>2.6</v>
      </c>
      <c r="Z136" s="192" t="str">
        <f t="shared" si="9"/>
        <v>F</v>
      </c>
      <c r="AA136" s="305" t="s">
        <v>1326</v>
      </c>
      <c r="AB136" s="299">
        <f>AVERAGE($Y$143:$Y$173)</f>
        <v>8.4064516129032221</v>
      </c>
      <c r="AC136" s="299">
        <f>MEDIAN($Y$143:$Y$173)</f>
        <v>9.1</v>
      </c>
      <c r="AD136" s="299">
        <f>MAX($Y$143:$Y$173)</f>
        <v>19.399999999999999</v>
      </c>
      <c r="AE136" s="299">
        <f>MIN($Y$143:$Y$173)</f>
        <v>1.8</v>
      </c>
      <c r="AF136" s="299">
        <f>STDEV($Y$143:$Y$173)</f>
        <v>3.198743032700091</v>
      </c>
      <c r="AG136" s="293">
        <f>COUNT($Y$143:$Y$173)</f>
        <v>31</v>
      </c>
    </row>
    <row r="137" spans="1:33" s="45" customFormat="1">
      <c r="A137" s="53">
        <v>46</v>
      </c>
      <c r="B137" s="60" t="s">
        <v>45</v>
      </c>
      <c r="C137" s="60">
        <v>1984</v>
      </c>
      <c r="D137" s="60" t="s">
        <v>113</v>
      </c>
      <c r="E137" s="56" t="s">
        <v>49</v>
      </c>
      <c r="F137" s="54">
        <v>1983</v>
      </c>
      <c r="G137" s="54" t="s">
        <v>116</v>
      </c>
      <c r="H137" s="54" t="s">
        <v>95</v>
      </c>
      <c r="I137" s="54"/>
      <c r="J137" s="54" t="s">
        <v>1013</v>
      </c>
      <c r="K137" s="54" t="s">
        <v>1134</v>
      </c>
      <c r="L137" s="54" t="s">
        <v>117</v>
      </c>
      <c r="M137" s="54"/>
      <c r="N137" s="54"/>
      <c r="O137" s="54" t="s">
        <v>134</v>
      </c>
      <c r="P137" s="54">
        <v>0.94</v>
      </c>
      <c r="Q137" s="54"/>
      <c r="R137" s="54">
        <f>+P137</f>
        <v>0.94</v>
      </c>
      <c r="S137" s="54"/>
      <c r="T137" s="54"/>
      <c r="U137" s="54"/>
      <c r="V137" s="54"/>
      <c r="W137" s="54"/>
      <c r="X137" s="66">
        <f t="shared" si="8"/>
        <v>0.94</v>
      </c>
      <c r="Y137" s="72">
        <v>2.2000000000000002</v>
      </c>
      <c r="Z137" s="192" t="str">
        <f t="shared" si="9"/>
        <v>F</v>
      </c>
    </row>
    <row r="138" spans="1:33" s="45" customFormat="1">
      <c r="A138" s="53">
        <v>35</v>
      </c>
      <c r="B138" s="60" t="s">
        <v>45</v>
      </c>
      <c r="C138" s="60">
        <v>1982</v>
      </c>
      <c r="D138" s="60" t="s">
        <v>46</v>
      </c>
      <c r="E138" s="56" t="s">
        <v>49</v>
      </c>
      <c r="F138" s="54" t="s">
        <v>50</v>
      </c>
      <c r="G138" s="54" t="s">
        <v>51</v>
      </c>
      <c r="H138" s="54" t="s">
        <v>23</v>
      </c>
      <c r="I138" s="54"/>
      <c r="J138" s="54" t="s">
        <v>1013</v>
      </c>
      <c r="K138" s="54" t="s">
        <v>1134</v>
      </c>
      <c r="L138" s="54" t="s">
        <v>52</v>
      </c>
      <c r="M138" s="54"/>
      <c r="N138" s="54"/>
      <c r="O138" s="54" t="s">
        <v>55</v>
      </c>
      <c r="P138" s="54"/>
      <c r="Q138" s="54"/>
      <c r="R138" s="54"/>
      <c r="S138" s="54"/>
      <c r="T138" s="54"/>
      <c r="U138" s="54"/>
      <c r="V138" s="54"/>
      <c r="W138" s="54"/>
      <c r="X138" s="66" t="str">
        <f t="shared" si="8"/>
        <v/>
      </c>
      <c r="Y138" s="72">
        <v>1.4</v>
      </c>
      <c r="Z138" s="192" t="s">
        <v>1192</v>
      </c>
      <c r="AB138" s="308"/>
      <c r="AC138" s="308"/>
      <c r="AD138" s="308"/>
      <c r="AE138" s="308"/>
      <c r="AF138" s="308"/>
      <c r="AG138" s="308"/>
    </row>
    <row r="139" spans="1:33" s="45" customFormat="1">
      <c r="A139" s="53">
        <v>35</v>
      </c>
      <c r="B139" s="60" t="s">
        <v>45</v>
      </c>
      <c r="C139" s="60">
        <v>1982</v>
      </c>
      <c r="D139" s="60" t="s">
        <v>46</v>
      </c>
      <c r="E139" s="56" t="s">
        <v>49</v>
      </c>
      <c r="F139" s="54" t="s">
        <v>50</v>
      </c>
      <c r="G139" s="54" t="s">
        <v>51</v>
      </c>
      <c r="H139" s="54" t="s">
        <v>23</v>
      </c>
      <c r="I139" s="54"/>
      <c r="J139" s="54" t="s">
        <v>1013</v>
      </c>
      <c r="K139" s="54" t="s">
        <v>1134</v>
      </c>
      <c r="L139" s="54" t="s">
        <v>52</v>
      </c>
      <c r="M139" s="54"/>
      <c r="N139" s="54"/>
      <c r="O139" s="54" t="s">
        <v>56</v>
      </c>
      <c r="P139" s="54"/>
      <c r="Q139" s="54"/>
      <c r="R139" s="54"/>
      <c r="S139" s="54"/>
      <c r="T139" s="54"/>
      <c r="U139" s="54"/>
      <c r="V139" s="54"/>
      <c r="W139" s="54"/>
      <c r="X139" s="66" t="str">
        <f t="shared" si="8"/>
        <v/>
      </c>
      <c r="Y139" s="72">
        <v>2.2000000000000002</v>
      </c>
      <c r="Z139" s="192" t="s">
        <v>1192</v>
      </c>
    </row>
    <row r="140" spans="1:33" s="45" customFormat="1">
      <c r="A140" s="53">
        <v>35</v>
      </c>
      <c r="B140" s="60" t="s">
        <v>45</v>
      </c>
      <c r="C140" s="60">
        <v>1982</v>
      </c>
      <c r="D140" s="60" t="s">
        <v>46</v>
      </c>
      <c r="E140" s="56" t="s">
        <v>49</v>
      </c>
      <c r="F140" s="54" t="s">
        <v>50</v>
      </c>
      <c r="G140" s="54" t="s">
        <v>51</v>
      </c>
      <c r="H140" s="54" t="s">
        <v>23</v>
      </c>
      <c r="I140" s="54"/>
      <c r="J140" s="54" t="s">
        <v>1013</v>
      </c>
      <c r="K140" s="54" t="s">
        <v>1134</v>
      </c>
      <c r="L140" s="54" t="s">
        <v>52</v>
      </c>
      <c r="M140" s="54"/>
      <c r="N140" s="54"/>
      <c r="O140" s="54" t="s">
        <v>54</v>
      </c>
      <c r="P140" s="54"/>
      <c r="Q140" s="54"/>
      <c r="R140" s="54"/>
      <c r="S140" s="54"/>
      <c r="T140" s="54"/>
      <c r="U140" s="54"/>
      <c r="V140" s="54"/>
      <c r="W140" s="54"/>
      <c r="X140" s="66" t="str">
        <f t="shared" si="8"/>
        <v/>
      </c>
      <c r="Y140" s="72">
        <v>2.5</v>
      </c>
      <c r="Z140" s="192" t="s">
        <v>1192</v>
      </c>
    </row>
    <row r="141" spans="1:33" s="45" customFormat="1">
      <c r="A141" s="53">
        <v>35</v>
      </c>
      <c r="B141" s="60" t="s">
        <v>45</v>
      </c>
      <c r="C141" s="60">
        <v>1982</v>
      </c>
      <c r="D141" s="60" t="s">
        <v>46</v>
      </c>
      <c r="E141" s="56" t="s">
        <v>49</v>
      </c>
      <c r="F141" s="54" t="s">
        <v>50</v>
      </c>
      <c r="G141" s="54" t="s">
        <v>51</v>
      </c>
      <c r="H141" s="54" t="s">
        <v>23</v>
      </c>
      <c r="I141" s="54"/>
      <c r="J141" s="54" t="s">
        <v>1013</v>
      </c>
      <c r="K141" s="54" t="s">
        <v>1134</v>
      </c>
      <c r="L141" s="54" t="s">
        <v>52</v>
      </c>
      <c r="M141" s="54"/>
      <c r="N141" s="54"/>
      <c r="O141" s="54" t="s">
        <v>57</v>
      </c>
      <c r="P141" s="54"/>
      <c r="Q141" s="54"/>
      <c r="R141" s="54"/>
      <c r="S141" s="54"/>
      <c r="T141" s="54"/>
      <c r="U141" s="54"/>
      <c r="V141" s="54"/>
      <c r="W141" s="54"/>
      <c r="X141" s="66" t="str">
        <f t="shared" si="8"/>
        <v/>
      </c>
      <c r="Y141" s="72">
        <v>2.7</v>
      </c>
      <c r="Z141" s="192" t="s">
        <v>1192</v>
      </c>
    </row>
    <row r="142" spans="1:33" s="45" customFormat="1">
      <c r="A142" s="53">
        <v>35</v>
      </c>
      <c r="B142" s="60" t="s">
        <v>45</v>
      </c>
      <c r="C142" s="60">
        <v>1982</v>
      </c>
      <c r="D142" s="60" t="s">
        <v>46</v>
      </c>
      <c r="E142" s="56" t="s">
        <v>49</v>
      </c>
      <c r="F142" s="54" t="s">
        <v>50</v>
      </c>
      <c r="G142" s="54" t="s">
        <v>51</v>
      </c>
      <c r="H142" s="54" t="s">
        <v>23</v>
      </c>
      <c r="I142" s="54"/>
      <c r="J142" s="54" t="s">
        <v>1013</v>
      </c>
      <c r="K142" s="54" t="s">
        <v>1134</v>
      </c>
      <c r="L142" s="54" t="s">
        <v>52</v>
      </c>
      <c r="M142" s="54"/>
      <c r="N142" s="54"/>
      <c r="O142" s="54" t="s">
        <v>53</v>
      </c>
      <c r="P142" s="54"/>
      <c r="Q142" s="54"/>
      <c r="R142" s="54"/>
      <c r="S142" s="54"/>
      <c r="T142" s="54"/>
      <c r="U142" s="54"/>
      <c r="V142" s="54"/>
      <c r="W142" s="54"/>
      <c r="X142" s="66" t="str">
        <f t="shared" si="8"/>
        <v/>
      </c>
      <c r="Y142" s="72">
        <v>3.5</v>
      </c>
      <c r="Z142" s="192" t="s">
        <v>1192</v>
      </c>
    </row>
    <row r="143" spans="1:33" s="45" customFormat="1">
      <c r="A143" s="53">
        <v>46</v>
      </c>
      <c r="B143" s="60" t="s">
        <v>45</v>
      </c>
      <c r="C143" s="60">
        <v>1984</v>
      </c>
      <c r="D143" s="60" t="s">
        <v>113</v>
      </c>
      <c r="E143" s="56" t="s">
        <v>49</v>
      </c>
      <c r="F143" s="54">
        <v>1983</v>
      </c>
      <c r="G143" s="54" t="s">
        <v>116</v>
      </c>
      <c r="H143" s="54" t="s">
        <v>95</v>
      </c>
      <c r="I143" s="54"/>
      <c r="J143" s="54" t="s">
        <v>1013</v>
      </c>
      <c r="K143" s="54" t="s">
        <v>1134</v>
      </c>
      <c r="L143" s="54" t="s">
        <v>117</v>
      </c>
      <c r="M143" s="54"/>
      <c r="N143" s="54"/>
      <c r="O143" s="54" t="s">
        <v>118</v>
      </c>
      <c r="P143" s="54"/>
      <c r="Q143" s="54">
        <v>0.63</v>
      </c>
      <c r="R143" s="54">
        <f t="shared" ref="R143:R159" si="10">+Q143</f>
        <v>0.63</v>
      </c>
      <c r="S143" s="54"/>
      <c r="T143" s="54"/>
      <c r="U143" s="54"/>
      <c r="V143" s="54"/>
      <c r="W143" s="54"/>
      <c r="X143" s="66">
        <f t="shared" si="8"/>
        <v>0.63</v>
      </c>
      <c r="Y143" s="72">
        <v>10</v>
      </c>
      <c r="Z143" s="192" t="str">
        <f t="shared" ref="Z143:Z164" si="11">IF(X143&lt;&gt;"",IF(X143&lt;0.9,"S","F"),"")</f>
        <v>S</v>
      </c>
    </row>
    <row r="144" spans="1:33" s="45" customFormat="1">
      <c r="A144" s="53">
        <v>46</v>
      </c>
      <c r="B144" s="60" t="s">
        <v>45</v>
      </c>
      <c r="C144" s="60">
        <v>1984</v>
      </c>
      <c r="D144" s="60" t="s">
        <v>113</v>
      </c>
      <c r="E144" s="56" t="s">
        <v>49</v>
      </c>
      <c r="F144" s="54">
        <v>1983</v>
      </c>
      <c r="G144" s="54" t="s">
        <v>116</v>
      </c>
      <c r="H144" s="54" t="s">
        <v>95</v>
      </c>
      <c r="I144" s="54"/>
      <c r="J144" s="54" t="s">
        <v>1013</v>
      </c>
      <c r="K144" s="54" t="s">
        <v>1134</v>
      </c>
      <c r="L144" s="54" t="s">
        <v>117</v>
      </c>
      <c r="M144" s="54"/>
      <c r="N144" s="54"/>
      <c r="O144" s="54" t="s">
        <v>132</v>
      </c>
      <c r="P144" s="54"/>
      <c r="Q144" s="54">
        <v>0.65</v>
      </c>
      <c r="R144" s="54">
        <f t="shared" si="10"/>
        <v>0.65</v>
      </c>
      <c r="S144" s="54"/>
      <c r="T144" s="54"/>
      <c r="U144" s="54"/>
      <c r="V144" s="54"/>
      <c r="W144" s="54"/>
      <c r="X144" s="66">
        <f t="shared" si="8"/>
        <v>0.65</v>
      </c>
      <c r="Y144" s="72">
        <v>5.7</v>
      </c>
      <c r="Z144" s="192" t="str">
        <f t="shared" si="11"/>
        <v>S</v>
      </c>
    </row>
    <row r="145" spans="1:26" s="45" customFormat="1">
      <c r="A145" s="53">
        <v>46</v>
      </c>
      <c r="B145" s="60" t="s">
        <v>45</v>
      </c>
      <c r="C145" s="60">
        <v>1984</v>
      </c>
      <c r="D145" s="60" t="s">
        <v>113</v>
      </c>
      <c r="E145" s="56" t="s">
        <v>49</v>
      </c>
      <c r="F145" s="54">
        <v>1983</v>
      </c>
      <c r="G145" s="54" t="s">
        <v>116</v>
      </c>
      <c r="H145" s="54" t="s">
        <v>95</v>
      </c>
      <c r="I145" s="54"/>
      <c r="J145" s="54" t="s">
        <v>1013</v>
      </c>
      <c r="K145" s="54" t="s">
        <v>1134</v>
      </c>
      <c r="L145" s="54" t="s">
        <v>117</v>
      </c>
      <c r="M145" s="54"/>
      <c r="N145" s="54"/>
      <c r="O145" s="54" t="s">
        <v>119</v>
      </c>
      <c r="P145" s="54"/>
      <c r="Q145" s="54">
        <v>0.66</v>
      </c>
      <c r="R145" s="54">
        <f t="shared" si="10"/>
        <v>0.66</v>
      </c>
      <c r="S145" s="54"/>
      <c r="T145" s="54"/>
      <c r="U145" s="54"/>
      <c r="V145" s="54"/>
      <c r="W145" s="54"/>
      <c r="X145" s="66">
        <f t="shared" si="8"/>
        <v>0.66</v>
      </c>
      <c r="Y145" s="72">
        <v>9.5</v>
      </c>
      <c r="Z145" s="192" t="str">
        <f t="shared" si="11"/>
        <v>S</v>
      </c>
    </row>
    <row r="146" spans="1:26" s="45" customFormat="1">
      <c r="A146" s="53">
        <v>46</v>
      </c>
      <c r="B146" s="60" t="s">
        <v>45</v>
      </c>
      <c r="C146" s="60">
        <v>1984</v>
      </c>
      <c r="D146" s="60" t="s">
        <v>113</v>
      </c>
      <c r="E146" s="56" t="s">
        <v>49</v>
      </c>
      <c r="F146" s="54">
        <v>1983</v>
      </c>
      <c r="G146" s="54" t="s">
        <v>116</v>
      </c>
      <c r="H146" s="54" t="s">
        <v>95</v>
      </c>
      <c r="I146" s="54"/>
      <c r="J146" s="54" t="s">
        <v>1013</v>
      </c>
      <c r="K146" s="54" t="s">
        <v>1134</v>
      </c>
      <c r="L146" s="54" t="s">
        <v>117</v>
      </c>
      <c r="M146" s="54"/>
      <c r="N146" s="54"/>
      <c r="O146" s="54" t="s">
        <v>133</v>
      </c>
      <c r="P146" s="54"/>
      <c r="Q146" s="54">
        <v>0.69</v>
      </c>
      <c r="R146" s="54">
        <f t="shared" si="10"/>
        <v>0.69</v>
      </c>
      <c r="S146" s="54"/>
      <c r="T146" s="54"/>
      <c r="U146" s="54"/>
      <c r="V146" s="54"/>
      <c r="W146" s="54"/>
      <c r="X146" s="66">
        <f t="shared" si="8"/>
        <v>0.69</v>
      </c>
      <c r="Y146" s="72">
        <v>6.2</v>
      </c>
      <c r="Z146" s="192" t="str">
        <f t="shared" si="11"/>
        <v>S</v>
      </c>
    </row>
    <row r="147" spans="1:26" s="45" customFormat="1">
      <c r="A147" s="53">
        <v>35</v>
      </c>
      <c r="B147" s="60" t="s">
        <v>45</v>
      </c>
      <c r="C147" s="60">
        <v>1982</v>
      </c>
      <c r="D147" s="60" t="s">
        <v>46</v>
      </c>
      <c r="E147" s="56" t="s">
        <v>49</v>
      </c>
      <c r="F147" s="54" t="s">
        <v>50</v>
      </c>
      <c r="G147" s="54" t="s">
        <v>51</v>
      </c>
      <c r="H147" s="54" t="s">
        <v>23</v>
      </c>
      <c r="I147" s="54"/>
      <c r="J147" s="54" t="s">
        <v>1013</v>
      </c>
      <c r="K147" s="54" t="s">
        <v>1134</v>
      </c>
      <c r="L147" s="54" t="s">
        <v>52</v>
      </c>
      <c r="M147" s="54"/>
      <c r="N147" s="54"/>
      <c r="O147" s="54" t="s">
        <v>72</v>
      </c>
      <c r="P147" s="54"/>
      <c r="Q147" s="54">
        <v>0.71</v>
      </c>
      <c r="R147" s="54">
        <f t="shared" si="10"/>
        <v>0.71</v>
      </c>
      <c r="S147" s="54"/>
      <c r="T147" s="54"/>
      <c r="U147" s="54"/>
      <c r="V147" s="54"/>
      <c r="W147" s="54">
        <v>13.4</v>
      </c>
      <c r="X147" s="66">
        <f t="shared" si="8"/>
        <v>0.71</v>
      </c>
      <c r="Y147" s="72">
        <f>+W147</f>
        <v>13.4</v>
      </c>
      <c r="Z147" s="192" t="str">
        <f t="shared" si="11"/>
        <v>S</v>
      </c>
    </row>
    <row r="148" spans="1:26" s="45" customFormat="1">
      <c r="A148" s="53">
        <v>35</v>
      </c>
      <c r="B148" s="60" t="s">
        <v>45</v>
      </c>
      <c r="C148" s="60">
        <v>1982</v>
      </c>
      <c r="D148" s="60" t="s">
        <v>46</v>
      </c>
      <c r="E148" s="56" t="s">
        <v>49</v>
      </c>
      <c r="F148" s="54" t="s">
        <v>50</v>
      </c>
      <c r="G148" s="54" t="s">
        <v>51</v>
      </c>
      <c r="H148" s="54" t="s">
        <v>23</v>
      </c>
      <c r="I148" s="54"/>
      <c r="J148" s="54" t="s">
        <v>1013</v>
      </c>
      <c r="K148" s="54" t="s">
        <v>1134</v>
      </c>
      <c r="L148" s="54" t="s">
        <v>52</v>
      </c>
      <c r="M148" s="54"/>
      <c r="N148" s="54"/>
      <c r="O148" s="54" t="s">
        <v>68</v>
      </c>
      <c r="P148" s="54"/>
      <c r="Q148" s="54">
        <v>0.74</v>
      </c>
      <c r="R148" s="54">
        <f t="shared" si="10"/>
        <v>0.74</v>
      </c>
      <c r="S148" s="54"/>
      <c r="T148" s="54"/>
      <c r="U148" s="54"/>
      <c r="V148" s="54"/>
      <c r="W148" s="54">
        <v>10.6</v>
      </c>
      <c r="X148" s="66">
        <f t="shared" si="8"/>
        <v>0.74</v>
      </c>
      <c r="Y148" s="72">
        <f>+W148</f>
        <v>10.6</v>
      </c>
      <c r="Z148" s="192" t="str">
        <f t="shared" si="11"/>
        <v>S</v>
      </c>
    </row>
    <row r="149" spans="1:26" s="45" customFormat="1">
      <c r="A149" s="53">
        <v>35</v>
      </c>
      <c r="B149" s="60" t="s">
        <v>45</v>
      </c>
      <c r="C149" s="60">
        <v>1982</v>
      </c>
      <c r="D149" s="60" t="s">
        <v>46</v>
      </c>
      <c r="E149" s="56" t="s">
        <v>49</v>
      </c>
      <c r="F149" s="54" t="s">
        <v>50</v>
      </c>
      <c r="G149" s="54" t="s">
        <v>51</v>
      </c>
      <c r="H149" s="54" t="s">
        <v>23</v>
      </c>
      <c r="I149" s="54"/>
      <c r="J149" s="54" t="s">
        <v>1013</v>
      </c>
      <c r="K149" s="54" t="s">
        <v>1134</v>
      </c>
      <c r="L149" s="54" t="s">
        <v>52</v>
      </c>
      <c r="M149" s="54"/>
      <c r="N149" s="54"/>
      <c r="O149" s="54" t="s">
        <v>71</v>
      </c>
      <c r="P149" s="54"/>
      <c r="Q149" s="54">
        <v>0.74</v>
      </c>
      <c r="R149" s="54">
        <f t="shared" si="10"/>
        <v>0.74</v>
      </c>
      <c r="S149" s="54"/>
      <c r="T149" s="54"/>
      <c r="U149" s="54"/>
      <c r="V149" s="54"/>
      <c r="W149" s="54">
        <v>8.9</v>
      </c>
      <c r="X149" s="66">
        <f t="shared" si="8"/>
        <v>0.74</v>
      </c>
      <c r="Y149" s="72">
        <f>+W149</f>
        <v>8.9</v>
      </c>
      <c r="Z149" s="192" t="str">
        <f t="shared" si="11"/>
        <v>S</v>
      </c>
    </row>
    <row r="150" spans="1:26" s="45" customFormat="1">
      <c r="A150" s="53">
        <v>46</v>
      </c>
      <c r="B150" s="60" t="s">
        <v>45</v>
      </c>
      <c r="C150" s="60">
        <v>1984</v>
      </c>
      <c r="D150" s="60" t="s">
        <v>113</v>
      </c>
      <c r="E150" s="56" t="s">
        <v>49</v>
      </c>
      <c r="F150" s="54">
        <v>1983</v>
      </c>
      <c r="G150" s="54" t="s">
        <v>116</v>
      </c>
      <c r="H150" s="54" t="s">
        <v>95</v>
      </c>
      <c r="I150" s="54"/>
      <c r="J150" s="54" t="s">
        <v>1013</v>
      </c>
      <c r="K150" s="54" t="s">
        <v>1134</v>
      </c>
      <c r="L150" s="54" t="s">
        <v>117</v>
      </c>
      <c r="M150" s="54"/>
      <c r="N150" s="54"/>
      <c r="O150" s="54" t="s">
        <v>127</v>
      </c>
      <c r="P150" s="54"/>
      <c r="Q150" s="54">
        <v>0.74</v>
      </c>
      <c r="R150" s="54">
        <f t="shared" si="10"/>
        <v>0.74</v>
      </c>
      <c r="S150" s="54"/>
      <c r="T150" s="54"/>
      <c r="U150" s="54"/>
      <c r="V150" s="54"/>
      <c r="W150" s="54"/>
      <c r="X150" s="66">
        <f t="shared" si="8"/>
        <v>0.74</v>
      </c>
      <c r="Y150" s="72">
        <v>7.6</v>
      </c>
      <c r="Z150" s="192" t="str">
        <f t="shared" si="11"/>
        <v>S</v>
      </c>
    </row>
    <row r="151" spans="1:26" s="45" customFormat="1">
      <c r="A151" s="53">
        <v>46</v>
      </c>
      <c r="B151" s="60" t="s">
        <v>45</v>
      </c>
      <c r="C151" s="60">
        <v>1984</v>
      </c>
      <c r="D151" s="60" t="s">
        <v>113</v>
      </c>
      <c r="E151" s="56" t="s">
        <v>49</v>
      </c>
      <c r="F151" s="54">
        <v>1983</v>
      </c>
      <c r="G151" s="54" t="s">
        <v>116</v>
      </c>
      <c r="H151" s="54" t="s">
        <v>95</v>
      </c>
      <c r="I151" s="54"/>
      <c r="J151" s="54" t="s">
        <v>1013</v>
      </c>
      <c r="K151" s="54" t="s">
        <v>1134</v>
      </c>
      <c r="L151" s="54" t="s">
        <v>117</v>
      </c>
      <c r="M151" s="54"/>
      <c r="N151" s="54"/>
      <c r="O151" s="54" t="s">
        <v>125</v>
      </c>
      <c r="P151" s="54"/>
      <c r="Q151" s="54">
        <v>0.77</v>
      </c>
      <c r="R151" s="54">
        <f t="shared" si="10"/>
        <v>0.77</v>
      </c>
      <c r="S151" s="54"/>
      <c r="T151" s="54"/>
      <c r="U151" s="54"/>
      <c r="V151" s="54"/>
      <c r="W151" s="54"/>
      <c r="X151" s="66">
        <f t="shared" si="8"/>
        <v>0.77</v>
      </c>
      <c r="Y151" s="72">
        <v>7.8</v>
      </c>
      <c r="Z151" s="192" t="str">
        <f t="shared" si="11"/>
        <v>S</v>
      </c>
    </row>
    <row r="152" spans="1:26" s="45" customFormat="1">
      <c r="A152" s="53">
        <v>46</v>
      </c>
      <c r="B152" s="60" t="s">
        <v>45</v>
      </c>
      <c r="C152" s="60">
        <v>1984</v>
      </c>
      <c r="D152" s="60" t="s">
        <v>113</v>
      </c>
      <c r="E152" s="56" t="s">
        <v>49</v>
      </c>
      <c r="F152" s="54">
        <v>1983</v>
      </c>
      <c r="G152" s="54" t="s">
        <v>116</v>
      </c>
      <c r="H152" s="54" t="s">
        <v>95</v>
      </c>
      <c r="I152" s="54"/>
      <c r="J152" s="54" t="s">
        <v>1013</v>
      </c>
      <c r="K152" s="54" t="s">
        <v>1134</v>
      </c>
      <c r="L152" s="54" t="s">
        <v>117</v>
      </c>
      <c r="M152" s="54"/>
      <c r="N152" s="54"/>
      <c r="O152" s="54" t="s">
        <v>129</v>
      </c>
      <c r="P152" s="54"/>
      <c r="Q152" s="54">
        <v>0.77</v>
      </c>
      <c r="R152" s="54">
        <f t="shared" si="10"/>
        <v>0.77</v>
      </c>
      <c r="S152" s="54"/>
      <c r="T152" s="54"/>
      <c r="U152" s="54"/>
      <c r="V152" s="54"/>
      <c r="W152" s="54"/>
      <c r="X152" s="66">
        <f t="shared" si="8"/>
        <v>0.77</v>
      </c>
      <c r="Y152" s="72">
        <v>9.6999999999999993</v>
      </c>
      <c r="Z152" s="192" t="str">
        <f t="shared" si="11"/>
        <v>S</v>
      </c>
    </row>
    <row r="153" spans="1:26" s="45" customFormat="1">
      <c r="A153" s="53">
        <v>35</v>
      </c>
      <c r="B153" s="60" t="s">
        <v>45</v>
      </c>
      <c r="C153" s="60">
        <v>1982</v>
      </c>
      <c r="D153" s="60" t="s">
        <v>46</v>
      </c>
      <c r="E153" s="56" t="s">
        <v>49</v>
      </c>
      <c r="F153" s="54" t="s">
        <v>50</v>
      </c>
      <c r="G153" s="54" t="s">
        <v>51</v>
      </c>
      <c r="H153" s="54" t="s">
        <v>23</v>
      </c>
      <c r="I153" s="54"/>
      <c r="J153" s="54" t="s">
        <v>1013</v>
      </c>
      <c r="K153" s="54" t="s">
        <v>1134</v>
      </c>
      <c r="L153" s="54" t="s">
        <v>52</v>
      </c>
      <c r="M153" s="54"/>
      <c r="N153" s="54"/>
      <c r="O153" s="54" t="s">
        <v>69</v>
      </c>
      <c r="P153" s="54"/>
      <c r="Q153" s="54">
        <v>0.78</v>
      </c>
      <c r="R153" s="54">
        <f t="shared" si="10"/>
        <v>0.78</v>
      </c>
      <c r="S153" s="54"/>
      <c r="T153" s="54"/>
      <c r="U153" s="54"/>
      <c r="V153" s="54"/>
      <c r="W153" s="54">
        <v>9.5</v>
      </c>
      <c r="X153" s="66">
        <f t="shared" si="8"/>
        <v>0.78</v>
      </c>
      <c r="Y153" s="72">
        <f>+W153</f>
        <v>9.5</v>
      </c>
      <c r="Z153" s="192" t="str">
        <f t="shared" si="11"/>
        <v>S</v>
      </c>
    </row>
    <row r="154" spans="1:26" s="45" customFormat="1">
      <c r="A154" s="53">
        <v>35</v>
      </c>
      <c r="B154" s="60" t="s">
        <v>45</v>
      </c>
      <c r="C154" s="60">
        <v>1982</v>
      </c>
      <c r="D154" s="60" t="s">
        <v>46</v>
      </c>
      <c r="E154" s="56" t="s">
        <v>49</v>
      </c>
      <c r="F154" s="54" t="s">
        <v>50</v>
      </c>
      <c r="G154" s="54" t="s">
        <v>51</v>
      </c>
      <c r="H154" s="54" t="s">
        <v>23</v>
      </c>
      <c r="I154" s="54"/>
      <c r="J154" s="54" t="s">
        <v>1013</v>
      </c>
      <c r="K154" s="54" t="s">
        <v>1134</v>
      </c>
      <c r="L154" s="54" t="s">
        <v>52</v>
      </c>
      <c r="M154" s="54"/>
      <c r="N154" s="54"/>
      <c r="O154" s="54" t="s">
        <v>70</v>
      </c>
      <c r="P154" s="54"/>
      <c r="Q154" s="54">
        <v>0.78</v>
      </c>
      <c r="R154" s="54">
        <f t="shared" si="10"/>
        <v>0.78</v>
      </c>
      <c r="S154" s="54"/>
      <c r="T154" s="54"/>
      <c r="U154" s="54"/>
      <c r="V154" s="54"/>
      <c r="W154" s="54">
        <v>9.4</v>
      </c>
      <c r="X154" s="66">
        <f t="shared" si="8"/>
        <v>0.78</v>
      </c>
      <c r="Y154" s="72">
        <f>+W154</f>
        <v>9.4</v>
      </c>
      <c r="Z154" s="192" t="str">
        <f t="shared" si="11"/>
        <v>S</v>
      </c>
    </row>
    <row r="155" spans="1:26" s="45" customFormat="1">
      <c r="A155" s="53">
        <v>46</v>
      </c>
      <c r="B155" s="60" t="s">
        <v>45</v>
      </c>
      <c r="C155" s="60">
        <v>1984</v>
      </c>
      <c r="D155" s="60" t="s">
        <v>113</v>
      </c>
      <c r="E155" s="56" t="s">
        <v>49</v>
      </c>
      <c r="F155" s="54">
        <v>1983</v>
      </c>
      <c r="G155" s="54" t="s">
        <v>116</v>
      </c>
      <c r="H155" s="54" t="s">
        <v>95</v>
      </c>
      <c r="I155" s="54"/>
      <c r="J155" s="54" t="s">
        <v>1013</v>
      </c>
      <c r="K155" s="54" t="s">
        <v>1134</v>
      </c>
      <c r="L155" s="54" t="s">
        <v>117</v>
      </c>
      <c r="M155" s="54"/>
      <c r="N155" s="54"/>
      <c r="O155" s="54" t="s">
        <v>124</v>
      </c>
      <c r="P155" s="54"/>
      <c r="Q155" s="54">
        <v>0.78</v>
      </c>
      <c r="R155" s="54">
        <f t="shared" si="10"/>
        <v>0.78</v>
      </c>
      <c r="S155" s="54"/>
      <c r="T155" s="54"/>
      <c r="U155" s="54"/>
      <c r="V155" s="54"/>
      <c r="W155" s="54"/>
      <c r="X155" s="66">
        <f t="shared" si="8"/>
        <v>0.78</v>
      </c>
      <c r="Y155" s="72">
        <v>8.4</v>
      </c>
      <c r="Z155" s="192" t="str">
        <f t="shared" si="11"/>
        <v>S</v>
      </c>
    </row>
    <row r="156" spans="1:26" s="45" customFormat="1">
      <c r="A156" s="53">
        <v>46</v>
      </c>
      <c r="B156" s="60" t="s">
        <v>45</v>
      </c>
      <c r="C156" s="60">
        <v>1984</v>
      </c>
      <c r="D156" s="60" t="s">
        <v>113</v>
      </c>
      <c r="E156" s="56" t="s">
        <v>49</v>
      </c>
      <c r="F156" s="54">
        <v>1983</v>
      </c>
      <c r="G156" s="54" t="s">
        <v>116</v>
      </c>
      <c r="H156" s="54" t="s">
        <v>95</v>
      </c>
      <c r="I156" s="54"/>
      <c r="J156" s="54" t="s">
        <v>1013</v>
      </c>
      <c r="K156" s="54" t="s">
        <v>1134</v>
      </c>
      <c r="L156" s="54" t="s">
        <v>117</v>
      </c>
      <c r="M156" s="54"/>
      <c r="N156" s="54"/>
      <c r="O156" s="54" t="s">
        <v>122</v>
      </c>
      <c r="P156" s="54"/>
      <c r="Q156" s="54">
        <v>0.79</v>
      </c>
      <c r="R156" s="54">
        <f t="shared" si="10"/>
        <v>0.79</v>
      </c>
      <c r="S156" s="54"/>
      <c r="T156" s="54"/>
      <c r="U156" s="54"/>
      <c r="V156" s="54"/>
      <c r="W156" s="54"/>
      <c r="X156" s="66">
        <f t="shared" si="8"/>
        <v>0.79</v>
      </c>
      <c r="Y156" s="72">
        <v>7.1</v>
      </c>
      <c r="Z156" s="192" t="str">
        <f t="shared" si="11"/>
        <v>S</v>
      </c>
    </row>
    <row r="157" spans="1:26" s="45" customFormat="1">
      <c r="A157" s="53">
        <v>46</v>
      </c>
      <c r="B157" s="60" t="s">
        <v>45</v>
      </c>
      <c r="C157" s="60">
        <v>1984</v>
      </c>
      <c r="D157" s="60" t="s">
        <v>113</v>
      </c>
      <c r="E157" s="56" t="s">
        <v>49</v>
      </c>
      <c r="F157" s="54">
        <v>1983</v>
      </c>
      <c r="G157" s="54" t="s">
        <v>116</v>
      </c>
      <c r="H157" s="54" t="s">
        <v>95</v>
      </c>
      <c r="I157" s="54"/>
      <c r="J157" s="54" t="s">
        <v>1013</v>
      </c>
      <c r="K157" s="54" t="s">
        <v>1134</v>
      </c>
      <c r="L157" s="54" t="s">
        <v>117</v>
      </c>
      <c r="M157" s="54"/>
      <c r="N157" s="54"/>
      <c r="O157" s="54" t="s">
        <v>120</v>
      </c>
      <c r="P157" s="54"/>
      <c r="Q157" s="54">
        <v>0.8</v>
      </c>
      <c r="R157" s="54">
        <f t="shared" si="10"/>
        <v>0.8</v>
      </c>
      <c r="S157" s="54"/>
      <c r="T157" s="54"/>
      <c r="U157" s="54"/>
      <c r="V157" s="54"/>
      <c r="W157" s="54"/>
      <c r="X157" s="66">
        <f t="shared" si="8"/>
        <v>0.8</v>
      </c>
      <c r="Y157" s="72">
        <v>6.8</v>
      </c>
      <c r="Z157" s="192" t="str">
        <f t="shared" si="11"/>
        <v>S</v>
      </c>
    </row>
    <row r="158" spans="1:26" s="45" customFormat="1">
      <c r="A158" s="53">
        <v>46</v>
      </c>
      <c r="B158" s="60" t="s">
        <v>45</v>
      </c>
      <c r="C158" s="60">
        <v>1984</v>
      </c>
      <c r="D158" s="60" t="s">
        <v>113</v>
      </c>
      <c r="E158" s="56" t="s">
        <v>49</v>
      </c>
      <c r="F158" s="54">
        <v>1983</v>
      </c>
      <c r="G158" s="54" t="s">
        <v>116</v>
      </c>
      <c r="H158" s="54" t="s">
        <v>95</v>
      </c>
      <c r="I158" s="54"/>
      <c r="J158" s="54" t="s">
        <v>1013</v>
      </c>
      <c r="K158" s="54" t="s">
        <v>1134</v>
      </c>
      <c r="L158" s="54" t="s">
        <v>117</v>
      </c>
      <c r="M158" s="54"/>
      <c r="N158" s="54"/>
      <c r="O158" s="54" t="s">
        <v>130</v>
      </c>
      <c r="P158" s="54"/>
      <c r="Q158" s="54">
        <v>0.8</v>
      </c>
      <c r="R158" s="54">
        <f t="shared" si="10"/>
        <v>0.8</v>
      </c>
      <c r="S158" s="54"/>
      <c r="T158" s="54"/>
      <c r="U158" s="54"/>
      <c r="V158" s="54"/>
      <c r="W158" s="54"/>
      <c r="X158" s="66">
        <f t="shared" si="8"/>
        <v>0.8</v>
      </c>
      <c r="Y158" s="72">
        <v>19.399999999999999</v>
      </c>
      <c r="Z158" s="192" t="str">
        <f t="shared" si="11"/>
        <v>S</v>
      </c>
    </row>
    <row r="159" spans="1:26" s="45" customFormat="1">
      <c r="A159" s="53">
        <v>35</v>
      </c>
      <c r="B159" s="60" t="s">
        <v>45</v>
      </c>
      <c r="C159" s="60">
        <v>1982</v>
      </c>
      <c r="D159" s="60" t="s">
        <v>46</v>
      </c>
      <c r="E159" s="56" t="s">
        <v>49</v>
      </c>
      <c r="F159" s="54" t="s">
        <v>50</v>
      </c>
      <c r="G159" s="54" t="s">
        <v>51</v>
      </c>
      <c r="H159" s="54" t="s">
        <v>23</v>
      </c>
      <c r="I159" s="54"/>
      <c r="J159" s="54" t="s">
        <v>1013</v>
      </c>
      <c r="K159" s="54" t="s">
        <v>1134</v>
      </c>
      <c r="L159" s="54" t="s">
        <v>52</v>
      </c>
      <c r="M159" s="54"/>
      <c r="N159" s="54"/>
      <c r="O159" s="54" t="s">
        <v>67</v>
      </c>
      <c r="P159" s="54"/>
      <c r="Q159" s="54">
        <v>0.84</v>
      </c>
      <c r="R159" s="54">
        <f t="shared" si="10"/>
        <v>0.84</v>
      </c>
      <c r="S159" s="54"/>
      <c r="T159" s="54"/>
      <c r="U159" s="54"/>
      <c r="V159" s="54"/>
      <c r="W159" s="54">
        <v>6.7</v>
      </c>
      <c r="X159" s="66">
        <f t="shared" si="8"/>
        <v>0.84</v>
      </c>
      <c r="Y159" s="72">
        <f>+W159</f>
        <v>6.7</v>
      </c>
      <c r="Z159" s="192" t="str">
        <f t="shared" si="11"/>
        <v>S</v>
      </c>
    </row>
    <row r="160" spans="1:26" s="45" customFormat="1">
      <c r="A160" s="53">
        <v>35</v>
      </c>
      <c r="B160" s="60" t="s">
        <v>45</v>
      </c>
      <c r="C160" s="60">
        <v>1982</v>
      </c>
      <c r="D160" s="60" t="s">
        <v>46</v>
      </c>
      <c r="E160" s="56" t="s">
        <v>49</v>
      </c>
      <c r="F160" s="54" t="s">
        <v>50</v>
      </c>
      <c r="G160" s="54" t="s">
        <v>51</v>
      </c>
      <c r="H160" s="54" t="s">
        <v>23</v>
      </c>
      <c r="I160" s="54"/>
      <c r="J160" s="54" t="s">
        <v>1013</v>
      </c>
      <c r="K160" s="54" t="s">
        <v>1134</v>
      </c>
      <c r="L160" s="54" t="s">
        <v>52</v>
      </c>
      <c r="M160" s="54"/>
      <c r="N160" s="54"/>
      <c r="O160" s="54" t="s">
        <v>71</v>
      </c>
      <c r="P160" s="54">
        <v>0.84</v>
      </c>
      <c r="Q160" s="54"/>
      <c r="R160" s="54">
        <f>+P160</f>
        <v>0.84</v>
      </c>
      <c r="S160" s="54"/>
      <c r="T160" s="54"/>
      <c r="U160" s="54"/>
      <c r="V160" s="54">
        <v>5</v>
      </c>
      <c r="W160" s="54"/>
      <c r="X160" s="66">
        <f t="shared" si="8"/>
        <v>0.84</v>
      </c>
      <c r="Y160" s="72">
        <f>+V160</f>
        <v>5</v>
      </c>
      <c r="Z160" s="192" t="str">
        <f t="shared" si="11"/>
        <v>S</v>
      </c>
    </row>
    <row r="161" spans="1:33" s="45" customFormat="1">
      <c r="A161" s="53">
        <v>46</v>
      </c>
      <c r="B161" s="60" t="s">
        <v>45</v>
      </c>
      <c r="C161" s="60">
        <v>1984</v>
      </c>
      <c r="D161" s="60" t="s">
        <v>113</v>
      </c>
      <c r="E161" s="56" t="s">
        <v>49</v>
      </c>
      <c r="F161" s="54">
        <v>1983</v>
      </c>
      <c r="G161" s="54" t="s">
        <v>116</v>
      </c>
      <c r="H161" s="54" t="s">
        <v>95</v>
      </c>
      <c r="I161" s="54"/>
      <c r="J161" s="54" t="s">
        <v>1013</v>
      </c>
      <c r="K161" s="54" t="s">
        <v>1134</v>
      </c>
      <c r="L161" s="54" t="s">
        <v>117</v>
      </c>
      <c r="M161" s="54"/>
      <c r="N161" s="54"/>
      <c r="O161" s="54" t="s">
        <v>128</v>
      </c>
      <c r="P161" s="54"/>
      <c r="Q161" s="54">
        <v>0.85</v>
      </c>
      <c r="R161" s="54">
        <f>+Q161</f>
        <v>0.85</v>
      </c>
      <c r="S161" s="54"/>
      <c r="T161" s="54"/>
      <c r="U161" s="54"/>
      <c r="V161" s="54"/>
      <c r="W161" s="54"/>
      <c r="X161" s="66">
        <f t="shared" si="8"/>
        <v>0.85</v>
      </c>
      <c r="Y161" s="72">
        <v>5.9</v>
      </c>
      <c r="Z161" s="192" t="str">
        <f t="shared" si="11"/>
        <v>S</v>
      </c>
    </row>
    <row r="162" spans="1:33" s="45" customFormat="1">
      <c r="A162" s="53">
        <v>46</v>
      </c>
      <c r="B162" s="60" t="s">
        <v>45</v>
      </c>
      <c r="C162" s="60">
        <v>1984</v>
      </c>
      <c r="D162" s="60" t="s">
        <v>113</v>
      </c>
      <c r="E162" s="56" t="s">
        <v>49</v>
      </c>
      <c r="F162" s="54">
        <v>1983</v>
      </c>
      <c r="G162" s="54" t="s">
        <v>116</v>
      </c>
      <c r="H162" s="54" t="s">
        <v>95</v>
      </c>
      <c r="I162" s="54"/>
      <c r="J162" s="54" t="s">
        <v>1013</v>
      </c>
      <c r="K162" s="54" t="s">
        <v>1134</v>
      </c>
      <c r="L162" s="54" t="s">
        <v>117</v>
      </c>
      <c r="M162" s="54"/>
      <c r="N162" s="54"/>
      <c r="O162" s="54" t="s">
        <v>121</v>
      </c>
      <c r="P162" s="54">
        <v>0.88</v>
      </c>
      <c r="Q162" s="54"/>
      <c r="R162" s="54">
        <f>+P162</f>
        <v>0.88</v>
      </c>
      <c r="S162" s="54"/>
      <c r="T162" s="54"/>
      <c r="U162" s="54"/>
      <c r="V162" s="54"/>
      <c r="W162" s="54"/>
      <c r="X162" s="66">
        <f t="shared" ref="X162:X183" si="12">IF(R162&lt;&gt;0,IF(R162&gt;1,R162/100,R162),IF(U162&lt;&gt;0,IF(U162&gt;1,U162/100,U162),""))</f>
        <v>0.88</v>
      </c>
      <c r="Y162" s="72">
        <v>4.2</v>
      </c>
      <c r="Z162" s="192" t="str">
        <f t="shared" si="11"/>
        <v>S</v>
      </c>
    </row>
    <row r="163" spans="1:33" s="45" customFormat="1">
      <c r="A163" s="53">
        <v>46</v>
      </c>
      <c r="B163" s="60" t="s">
        <v>45</v>
      </c>
      <c r="C163" s="60">
        <v>1984</v>
      </c>
      <c r="D163" s="60" t="s">
        <v>113</v>
      </c>
      <c r="E163" s="56" t="s">
        <v>49</v>
      </c>
      <c r="F163" s="54">
        <v>1983</v>
      </c>
      <c r="G163" s="54" t="s">
        <v>116</v>
      </c>
      <c r="H163" s="54" t="s">
        <v>95</v>
      </c>
      <c r="I163" s="54"/>
      <c r="J163" s="54" t="s">
        <v>1013</v>
      </c>
      <c r="K163" s="54" t="s">
        <v>1134</v>
      </c>
      <c r="L163" s="54" t="s">
        <v>117</v>
      </c>
      <c r="M163" s="54"/>
      <c r="N163" s="54"/>
      <c r="O163" s="54" t="s">
        <v>123</v>
      </c>
      <c r="P163" s="54">
        <v>0.89</v>
      </c>
      <c r="Q163" s="54"/>
      <c r="R163" s="54">
        <f>+P163</f>
        <v>0.89</v>
      </c>
      <c r="S163" s="54"/>
      <c r="T163" s="54"/>
      <c r="U163" s="54"/>
      <c r="V163" s="54"/>
      <c r="W163" s="54"/>
      <c r="X163" s="66">
        <f t="shared" si="12"/>
        <v>0.89</v>
      </c>
      <c r="Y163" s="72">
        <v>1.8</v>
      </c>
      <c r="Z163" s="192" t="str">
        <f t="shared" si="11"/>
        <v>S</v>
      </c>
    </row>
    <row r="164" spans="1:33" s="45" customFormat="1">
      <c r="A164" s="53">
        <v>46</v>
      </c>
      <c r="B164" s="60" t="s">
        <v>45</v>
      </c>
      <c r="C164" s="60">
        <v>1984</v>
      </c>
      <c r="D164" s="60" t="s">
        <v>113</v>
      </c>
      <c r="E164" s="56" t="s">
        <v>49</v>
      </c>
      <c r="F164" s="54">
        <v>1983</v>
      </c>
      <c r="G164" s="54" t="s">
        <v>116</v>
      </c>
      <c r="H164" s="54" t="s">
        <v>95</v>
      </c>
      <c r="I164" s="54"/>
      <c r="J164" s="54" t="s">
        <v>1013</v>
      </c>
      <c r="K164" s="54" t="s">
        <v>1134</v>
      </c>
      <c r="L164" s="54" t="s">
        <v>117</v>
      </c>
      <c r="M164" s="54"/>
      <c r="N164" s="54"/>
      <c r="O164" s="54" t="s">
        <v>126</v>
      </c>
      <c r="P164" s="54">
        <v>0.89</v>
      </c>
      <c r="Q164" s="54"/>
      <c r="R164" s="54">
        <f>+P164</f>
        <v>0.89</v>
      </c>
      <c r="S164" s="54"/>
      <c r="T164" s="54"/>
      <c r="U164" s="54"/>
      <c r="V164" s="54"/>
      <c r="W164" s="54"/>
      <c r="X164" s="66">
        <f t="shared" si="12"/>
        <v>0.89</v>
      </c>
      <c r="Y164" s="72">
        <v>2.2000000000000002</v>
      </c>
      <c r="Z164" s="192" t="str">
        <f t="shared" si="11"/>
        <v>S</v>
      </c>
    </row>
    <row r="165" spans="1:33" s="45" customFormat="1">
      <c r="A165" s="53">
        <v>35</v>
      </c>
      <c r="B165" s="60" t="s">
        <v>45</v>
      </c>
      <c r="C165" s="60">
        <v>1982</v>
      </c>
      <c r="D165" s="60" t="s">
        <v>46</v>
      </c>
      <c r="E165" s="56" t="s">
        <v>49</v>
      </c>
      <c r="F165" s="54" t="s">
        <v>50</v>
      </c>
      <c r="G165" s="54" t="s">
        <v>51</v>
      </c>
      <c r="H165" s="54" t="s">
        <v>23</v>
      </c>
      <c r="I165" s="54"/>
      <c r="J165" s="54" t="s">
        <v>1013</v>
      </c>
      <c r="K165" s="54" t="s">
        <v>1134</v>
      </c>
      <c r="L165" s="54" t="s">
        <v>52</v>
      </c>
      <c r="M165" s="54"/>
      <c r="N165" s="54"/>
      <c r="O165" s="54" t="s">
        <v>63</v>
      </c>
      <c r="P165" s="54"/>
      <c r="Q165" s="54"/>
      <c r="R165" s="54"/>
      <c r="S165" s="54"/>
      <c r="T165" s="54"/>
      <c r="U165" s="54"/>
      <c r="V165" s="54"/>
      <c r="W165" s="54"/>
      <c r="X165" s="66" t="str">
        <f t="shared" si="12"/>
        <v/>
      </c>
      <c r="Y165" s="72">
        <v>8.6999999999999993</v>
      </c>
      <c r="Z165" s="192" t="s">
        <v>1193</v>
      </c>
    </row>
    <row r="166" spans="1:33" s="45" customFormat="1">
      <c r="A166" s="53">
        <v>35</v>
      </c>
      <c r="B166" s="60" t="s">
        <v>45</v>
      </c>
      <c r="C166" s="60">
        <v>1982</v>
      </c>
      <c r="D166" s="60" t="s">
        <v>46</v>
      </c>
      <c r="E166" s="56" t="s">
        <v>49</v>
      </c>
      <c r="F166" s="54" t="s">
        <v>50</v>
      </c>
      <c r="G166" s="54" t="s">
        <v>51</v>
      </c>
      <c r="H166" s="54" t="s">
        <v>23</v>
      </c>
      <c r="I166" s="54"/>
      <c r="J166" s="54" t="s">
        <v>1013</v>
      </c>
      <c r="K166" s="54" t="s">
        <v>1134</v>
      </c>
      <c r="L166" s="54" t="s">
        <v>52</v>
      </c>
      <c r="M166" s="54"/>
      <c r="N166" s="54"/>
      <c r="O166" s="54" t="s">
        <v>62</v>
      </c>
      <c r="P166" s="54"/>
      <c r="Q166" s="54"/>
      <c r="R166" s="54"/>
      <c r="S166" s="54"/>
      <c r="T166" s="54"/>
      <c r="U166" s="54"/>
      <c r="V166" s="54"/>
      <c r="W166" s="54"/>
      <c r="X166" s="66" t="str">
        <f t="shared" si="12"/>
        <v/>
      </c>
      <c r="Y166" s="72">
        <v>9.1</v>
      </c>
      <c r="Z166" s="192" t="s">
        <v>1193</v>
      </c>
    </row>
    <row r="167" spans="1:33" s="45" customFormat="1">
      <c r="A167" s="53">
        <v>35</v>
      </c>
      <c r="B167" s="60" t="s">
        <v>45</v>
      </c>
      <c r="C167" s="60">
        <v>1982</v>
      </c>
      <c r="D167" s="60" t="s">
        <v>46</v>
      </c>
      <c r="E167" s="56" t="s">
        <v>49</v>
      </c>
      <c r="F167" s="54" t="s">
        <v>50</v>
      </c>
      <c r="G167" s="54" t="s">
        <v>51</v>
      </c>
      <c r="H167" s="54" t="s">
        <v>23</v>
      </c>
      <c r="I167" s="54"/>
      <c r="J167" s="54" t="s">
        <v>1013</v>
      </c>
      <c r="K167" s="54" t="s">
        <v>1134</v>
      </c>
      <c r="L167" s="54" t="s">
        <v>52</v>
      </c>
      <c r="M167" s="54"/>
      <c r="N167" s="54"/>
      <c r="O167" s="54" t="s">
        <v>59</v>
      </c>
      <c r="P167" s="54"/>
      <c r="Q167" s="54"/>
      <c r="R167" s="54"/>
      <c r="S167" s="54"/>
      <c r="T167" s="54"/>
      <c r="U167" s="54"/>
      <c r="V167" s="54"/>
      <c r="W167" s="54"/>
      <c r="X167" s="66" t="str">
        <f t="shared" si="12"/>
        <v/>
      </c>
      <c r="Y167" s="72">
        <v>9.1999999999999993</v>
      </c>
      <c r="Z167" s="192" t="s">
        <v>1193</v>
      </c>
    </row>
    <row r="168" spans="1:33" s="45" customFormat="1">
      <c r="A168" s="53">
        <v>35</v>
      </c>
      <c r="B168" s="60" t="s">
        <v>45</v>
      </c>
      <c r="C168" s="60">
        <v>1982</v>
      </c>
      <c r="D168" s="60" t="s">
        <v>46</v>
      </c>
      <c r="E168" s="56" t="s">
        <v>49</v>
      </c>
      <c r="F168" s="54" t="s">
        <v>50</v>
      </c>
      <c r="G168" s="54" t="s">
        <v>51</v>
      </c>
      <c r="H168" s="54" t="s">
        <v>23</v>
      </c>
      <c r="I168" s="54"/>
      <c r="J168" s="54" t="s">
        <v>1013</v>
      </c>
      <c r="K168" s="54" t="s">
        <v>1134</v>
      </c>
      <c r="L168" s="54" t="s">
        <v>52</v>
      </c>
      <c r="M168" s="54"/>
      <c r="N168" s="54"/>
      <c r="O168" s="54" t="s">
        <v>58</v>
      </c>
      <c r="P168" s="54"/>
      <c r="Q168" s="54"/>
      <c r="R168" s="54"/>
      <c r="S168" s="54"/>
      <c r="T168" s="54"/>
      <c r="U168" s="54"/>
      <c r="V168" s="54"/>
      <c r="W168" s="54"/>
      <c r="X168" s="66" t="str">
        <f t="shared" si="12"/>
        <v/>
      </c>
      <c r="Y168" s="72">
        <v>9.4</v>
      </c>
      <c r="Z168" s="192" t="s">
        <v>1193</v>
      </c>
    </row>
    <row r="169" spans="1:33" s="45" customFormat="1">
      <c r="A169" s="53">
        <v>35</v>
      </c>
      <c r="B169" s="60" t="s">
        <v>45</v>
      </c>
      <c r="C169" s="60">
        <v>1982</v>
      </c>
      <c r="D169" s="60" t="s">
        <v>46</v>
      </c>
      <c r="E169" s="56" t="s">
        <v>49</v>
      </c>
      <c r="F169" s="54" t="s">
        <v>50</v>
      </c>
      <c r="G169" s="54" t="s">
        <v>51</v>
      </c>
      <c r="H169" s="54" t="s">
        <v>23</v>
      </c>
      <c r="I169" s="54"/>
      <c r="J169" s="54" t="s">
        <v>1013</v>
      </c>
      <c r="K169" s="54" t="s">
        <v>1134</v>
      </c>
      <c r="L169" s="54" t="s">
        <v>52</v>
      </c>
      <c r="M169" s="54"/>
      <c r="N169" s="54"/>
      <c r="O169" s="54" t="s">
        <v>64</v>
      </c>
      <c r="P169" s="54"/>
      <c r="Q169" s="54"/>
      <c r="R169" s="54"/>
      <c r="S169" s="54"/>
      <c r="T169" s="54"/>
      <c r="U169" s="54"/>
      <c r="V169" s="54"/>
      <c r="W169" s="54"/>
      <c r="X169" s="66" t="str">
        <f t="shared" si="12"/>
        <v/>
      </c>
      <c r="Y169" s="72">
        <v>9.6</v>
      </c>
      <c r="Z169" s="192" t="s">
        <v>1193</v>
      </c>
    </row>
    <row r="170" spans="1:33" s="45" customFormat="1">
      <c r="A170" s="53">
        <v>35</v>
      </c>
      <c r="B170" s="60" t="s">
        <v>45</v>
      </c>
      <c r="C170" s="60">
        <v>1982</v>
      </c>
      <c r="D170" s="60" t="s">
        <v>46</v>
      </c>
      <c r="E170" s="56" t="s">
        <v>49</v>
      </c>
      <c r="F170" s="54" t="s">
        <v>50</v>
      </c>
      <c r="G170" s="54" t="s">
        <v>51</v>
      </c>
      <c r="H170" s="54" t="s">
        <v>23</v>
      </c>
      <c r="I170" s="54"/>
      <c r="J170" s="54" t="s">
        <v>1013</v>
      </c>
      <c r="K170" s="54" t="s">
        <v>1134</v>
      </c>
      <c r="L170" s="54" t="s">
        <v>52</v>
      </c>
      <c r="M170" s="54"/>
      <c r="N170" s="54"/>
      <c r="O170" s="54" t="s">
        <v>65</v>
      </c>
      <c r="P170" s="54"/>
      <c r="Q170" s="54"/>
      <c r="R170" s="54"/>
      <c r="S170" s="54"/>
      <c r="T170" s="54"/>
      <c r="U170" s="54"/>
      <c r="V170" s="54"/>
      <c r="W170" s="54"/>
      <c r="X170" s="66" t="str">
        <f t="shared" si="12"/>
        <v/>
      </c>
      <c r="Y170" s="72">
        <v>9.6</v>
      </c>
      <c r="Z170" s="192" t="s">
        <v>1193</v>
      </c>
    </row>
    <row r="171" spans="1:33" s="45" customFormat="1">
      <c r="A171" s="53">
        <v>35</v>
      </c>
      <c r="B171" s="60" t="s">
        <v>45</v>
      </c>
      <c r="C171" s="60">
        <v>1982</v>
      </c>
      <c r="D171" s="60" t="s">
        <v>46</v>
      </c>
      <c r="E171" s="56" t="s">
        <v>49</v>
      </c>
      <c r="F171" s="54" t="s">
        <v>50</v>
      </c>
      <c r="G171" s="54" t="s">
        <v>51</v>
      </c>
      <c r="H171" s="54" t="s">
        <v>23</v>
      </c>
      <c r="I171" s="54"/>
      <c r="J171" s="54" t="s">
        <v>1013</v>
      </c>
      <c r="K171" s="54" t="s">
        <v>1134</v>
      </c>
      <c r="L171" s="54" t="s">
        <v>52</v>
      </c>
      <c r="M171" s="54"/>
      <c r="N171" s="54"/>
      <c r="O171" s="54" t="s">
        <v>66</v>
      </c>
      <c r="P171" s="54"/>
      <c r="Q171" s="54"/>
      <c r="R171" s="54"/>
      <c r="S171" s="54"/>
      <c r="T171" s="54"/>
      <c r="U171" s="54"/>
      <c r="V171" s="54"/>
      <c r="W171" s="54"/>
      <c r="X171" s="66" t="str">
        <f t="shared" si="12"/>
        <v/>
      </c>
      <c r="Y171" s="72">
        <v>9.6</v>
      </c>
      <c r="Z171" s="192" t="s">
        <v>1193</v>
      </c>
    </row>
    <row r="172" spans="1:33" s="45" customFormat="1">
      <c r="A172" s="53">
        <v>35</v>
      </c>
      <c r="B172" s="60" t="s">
        <v>45</v>
      </c>
      <c r="C172" s="60">
        <v>1982</v>
      </c>
      <c r="D172" s="60" t="s">
        <v>46</v>
      </c>
      <c r="E172" s="56" t="s">
        <v>49</v>
      </c>
      <c r="F172" s="54" t="s">
        <v>50</v>
      </c>
      <c r="G172" s="54" t="s">
        <v>51</v>
      </c>
      <c r="H172" s="54" t="s">
        <v>23</v>
      </c>
      <c r="I172" s="54"/>
      <c r="J172" s="54" t="s">
        <v>1013</v>
      </c>
      <c r="K172" s="54" t="s">
        <v>1134</v>
      </c>
      <c r="L172" s="54" t="s">
        <v>52</v>
      </c>
      <c r="M172" s="54"/>
      <c r="N172" s="54"/>
      <c r="O172" s="54" t="s">
        <v>61</v>
      </c>
      <c r="P172" s="54"/>
      <c r="Q172" s="54"/>
      <c r="R172" s="54"/>
      <c r="S172" s="54"/>
      <c r="T172" s="54"/>
      <c r="U172" s="54"/>
      <c r="V172" s="54"/>
      <c r="W172" s="54"/>
      <c r="X172" s="66" t="str">
        <f t="shared" si="12"/>
        <v/>
      </c>
      <c r="Y172" s="72">
        <v>9.6999999999999993</v>
      </c>
      <c r="Z172" s="192" t="s">
        <v>1193</v>
      </c>
    </row>
    <row r="173" spans="1:33" s="45" customFormat="1">
      <c r="A173" s="53">
        <v>35</v>
      </c>
      <c r="B173" s="60" t="s">
        <v>45</v>
      </c>
      <c r="C173" s="60">
        <v>1982</v>
      </c>
      <c r="D173" s="60" t="s">
        <v>46</v>
      </c>
      <c r="E173" s="56" t="s">
        <v>49</v>
      </c>
      <c r="F173" s="54" t="s">
        <v>50</v>
      </c>
      <c r="G173" s="54" t="s">
        <v>51</v>
      </c>
      <c r="H173" s="54" t="s">
        <v>23</v>
      </c>
      <c r="I173" s="54"/>
      <c r="J173" s="54" t="s">
        <v>1013</v>
      </c>
      <c r="K173" s="54" t="s">
        <v>1134</v>
      </c>
      <c r="L173" s="54" t="s">
        <v>52</v>
      </c>
      <c r="M173" s="54"/>
      <c r="N173" s="54"/>
      <c r="O173" s="54" t="s">
        <v>60</v>
      </c>
      <c r="P173" s="54"/>
      <c r="Q173" s="54"/>
      <c r="R173" s="54"/>
      <c r="S173" s="54"/>
      <c r="T173" s="54"/>
      <c r="U173" s="54"/>
      <c r="V173" s="54"/>
      <c r="W173" s="54"/>
      <c r="X173" s="66" t="str">
        <f t="shared" si="12"/>
        <v/>
      </c>
      <c r="Y173" s="72">
        <v>9.9</v>
      </c>
      <c r="Z173" s="192" t="s">
        <v>1193</v>
      </c>
    </row>
    <row r="174" spans="1:33" s="107" customFormat="1">
      <c r="A174" s="97">
        <v>101</v>
      </c>
      <c r="B174" s="123" t="s">
        <v>298</v>
      </c>
      <c r="C174" s="98">
        <v>1994</v>
      </c>
      <c r="D174" s="123" t="s">
        <v>299</v>
      </c>
      <c r="E174" s="99" t="s">
        <v>172</v>
      </c>
      <c r="F174" s="98">
        <v>1994</v>
      </c>
      <c r="G174" s="98" t="s">
        <v>301</v>
      </c>
      <c r="H174" s="98" t="s">
        <v>302</v>
      </c>
      <c r="I174" s="98" t="s">
        <v>1014</v>
      </c>
      <c r="J174" s="98" t="s">
        <v>1013</v>
      </c>
      <c r="K174" s="98"/>
      <c r="L174" s="98" t="s">
        <v>303</v>
      </c>
      <c r="M174" s="98"/>
      <c r="N174" s="98"/>
      <c r="O174" s="98" t="s">
        <v>309</v>
      </c>
      <c r="P174" s="98"/>
      <c r="Q174" s="98"/>
      <c r="R174" s="98"/>
      <c r="S174" s="98"/>
      <c r="T174" s="98"/>
      <c r="U174" s="98">
        <v>0.86</v>
      </c>
      <c r="V174" s="98"/>
      <c r="W174" s="98"/>
      <c r="X174" s="101">
        <f t="shared" si="12"/>
        <v>0.86</v>
      </c>
      <c r="Y174" s="111">
        <v>8.4</v>
      </c>
      <c r="Z174" s="106" t="str">
        <f t="shared" ref="Z174:Z183" si="13">IF(X174&lt;&gt;"",IF(X174&lt;0.9,"S","F"),"")</f>
        <v>S</v>
      </c>
      <c r="AA174" s="150"/>
      <c r="AB174" s="150" t="s">
        <v>1206</v>
      </c>
      <c r="AC174" s="150" t="s">
        <v>1207</v>
      </c>
      <c r="AD174" s="150" t="s">
        <v>1208</v>
      </c>
      <c r="AE174" s="150" t="s">
        <v>1209</v>
      </c>
      <c r="AF174" s="150" t="s">
        <v>1210</v>
      </c>
      <c r="AG174" s="150" t="s">
        <v>1211</v>
      </c>
    </row>
    <row r="175" spans="1:33" s="107" customFormat="1">
      <c r="A175" s="97">
        <v>101</v>
      </c>
      <c r="B175" s="123" t="s">
        <v>298</v>
      </c>
      <c r="C175" s="98">
        <v>1994</v>
      </c>
      <c r="D175" s="123" t="s">
        <v>299</v>
      </c>
      <c r="E175" s="99" t="s">
        <v>172</v>
      </c>
      <c r="F175" s="98">
        <v>1994</v>
      </c>
      <c r="G175" s="98" t="s">
        <v>301</v>
      </c>
      <c r="H175" s="98" t="s">
        <v>302</v>
      </c>
      <c r="I175" s="98" t="s">
        <v>1014</v>
      </c>
      <c r="J175" s="98" t="s">
        <v>1013</v>
      </c>
      <c r="K175" s="98"/>
      <c r="L175" s="98" t="s">
        <v>303</v>
      </c>
      <c r="M175" s="98"/>
      <c r="N175" s="98"/>
      <c r="O175" s="98" t="s">
        <v>306</v>
      </c>
      <c r="P175" s="98"/>
      <c r="Q175" s="98"/>
      <c r="R175" s="98"/>
      <c r="S175" s="98"/>
      <c r="T175" s="98"/>
      <c r="U175" s="98">
        <v>0.94</v>
      </c>
      <c r="V175" s="98"/>
      <c r="W175" s="98"/>
      <c r="X175" s="101">
        <f t="shared" si="12"/>
        <v>0.94</v>
      </c>
      <c r="Y175" s="111">
        <v>2.6</v>
      </c>
      <c r="Z175" s="106" t="str">
        <f t="shared" si="13"/>
        <v>F</v>
      </c>
      <c r="AA175" s="150" t="s">
        <v>1335</v>
      </c>
      <c r="AB175" s="151">
        <f>AVERAGE($Y$175:$Y$180)</f>
        <v>3.35</v>
      </c>
      <c r="AC175" s="151">
        <f>MEDIAN($Y$175:$Y$180)</f>
        <v>3.45</v>
      </c>
      <c r="AD175" s="151">
        <f>MAX($Y$175:$Y$180)</f>
        <v>4.5</v>
      </c>
      <c r="AE175" s="151">
        <f>MIN($Y$175:$Y$180)</f>
        <v>1.8</v>
      </c>
      <c r="AF175" s="151">
        <f>STDEV($Y$175:$Y$180)</f>
        <v>1.1536897329871656</v>
      </c>
      <c r="AG175" s="150">
        <f>COUNT($Y$175:$Y$180)</f>
        <v>6</v>
      </c>
    </row>
    <row r="176" spans="1:33" s="107" customFormat="1">
      <c r="A176" s="97">
        <v>101</v>
      </c>
      <c r="B176" s="123" t="s">
        <v>298</v>
      </c>
      <c r="C176" s="98">
        <v>1994</v>
      </c>
      <c r="D176" s="123" t="s">
        <v>299</v>
      </c>
      <c r="E176" s="99" t="s">
        <v>172</v>
      </c>
      <c r="F176" s="98">
        <v>1994</v>
      </c>
      <c r="G176" s="98" t="s">
        <v>301</v>
      </c>
      <c r="H176" s="98" t="s">
        <v>302</v>
      </c>
      <c r="I176" s="98" t="s">
        <v>1014</v>
      </c>
      <c r="J176" s="98" t="s">
        <v>1013</v>
      </c>
      <c r="K176" s="98"/>
      <c r="L176" s="98" t="s">
        <v>303</v>
      </c>
      <c r="M176" s="98"/>
      <c r="N176" s="98"/>
      <c r="O176" s="98" t="s">
        <v>308</v>
      </c>
      <c r="P176" s="98"/>
      <c r="Q176" s="98"/>
      <c r="R176" s="98"/>
      <c r="S176" s="98"/>
      <c r="T176" s="98"/>
      <c r="U176" s="98">
        <v>0.94</v>
      </c>
      <c r="V176" s="98"/>
      <c r="W176" s="98"/>
      <c r="X176" s="101">
        <f t="shared" si="12"/>
        <v>0.94</v>
      </c>
      <c r="Y176" s="111">
        <v>4.3</v>
      </c>
      <c r="Z176" s="106" t="str">
        <f t="shared" si="13"/>
        <v>F</v>
      </c>
      <c r="AA176" s="150" t="s">
        <v>1336</v>
      </c>
      <c r="AB176" s="151">
        <f>+$Y$174</f>
        <v>8.4</v>
      </c>
      <c r="AC176" s="151"/>
      <c r="AD176" s="151"/>
      <c r="AE176" s="151"/>
      <c r="AF176" s="151"/>
      <c r="AG176" s="150">
        <f>COUNT(+$Y$174)</f>
        <v>1</v>
      </c>
    </row>
    <row r="177" spans="1:33" s="107" customFormat="1">
      <c r="A177" s="97">
        <v>101</v>
      </c>
      <c r="B177" s="123" t="s">
        <v>298</v>
      </c>
      <c r="C177" s="98">
        <v>1994</v>
      </c>
      <c r="D177" s="123" t="s">
        <v>299</v>
      </c>
      <c r="E177" s="99" t="s">
        <v>172</v>
      </c>
      <c r="F177" s="98">
        <v>1994</v>
      </c>
      <c r="G177" s="98" t="s">
        <v>301</v>
      </c>
      <c r="H177" s="98" t="s">
        <v>302</v>
      </c>
      <c r="I177" s="98" t="s">
        <v>1014</v>
      </c>
      <c r="J177" s="98" t="s">
        <v>1013</v>
      </c>
      <c r="K177" s="98"/>
      <c r="L177" s="98" t="s">
        <v>303</v>
      </c>
      <c r="M177" s="98"/>
      <c r="N177" s="98"/>
      <c r="O177" s="98" t="s">
        <v>304</v>
      </c>
      <c r="P177" s="98"/>
      <c r="Q177" s="98"/>
      <c r="R177" s="98"/>
      <c r="S177" s="98"/>
      <c r="T177" s="98"/>
      <c r="U177" s="98">
        <v>0.94</v>
      </c>
      <c r="V177" s="98"/>
      <c r="W177" s="98"/>
      <c r="X177" s="101">
        <f t="shared" si="12"/>
        <v>0.94</v>
      </c>
      <c r="Y177" s="111">
        <v>4.5</v>
      </c>
      <c r="Z177" s="106" t="str">
        <f t="shared" si="13"/>
        <v>F</v>
      </c>
      <c r="AA177" s="174" t="s">
        <v>1329</v>
      </c>
    </row>
    <row r="178" spans="1:33" s="107" customFormat="1">
      <c r="A178" s="97">
        <v>101</v>
      </c>
      <c r="B178" s="123" t="s">
        <v>298</v>
      </c>
      <c r="C178" s="98">
        <v>1994</v>
      </c>
      <c r="D178" s="123" t="s">
        <v>299</v>
      </c>
      <c r="E178" s="99" t="s">
        <v>172</v>
      </c>
      <c r="F178" s="98">
        <v>1994</v>
      </c>
      <c r="G178" s="98" t="s">
        <v>301</v>
      </c>
      <c r="H178" s="98" t="s">
        <v>302</v>
      </c>
      <c r="I178" s="98" t="s">
        <v>1014</v>
      </c>
      <c r="J178" s="98" t="s">
        <v>1013</v>
      </c>
      <c r="K178" s="98"/>
      <c r="L178" s="98" t="s">
        <v>303</v>
      </c>
      <c r="M178" s="98"/>
      <c r="N178" s="98"/>
      <c r="O178" s="98" t="s">
        <v>305</v>
      </c>
      <c r="P178" s="98"/>
      <c r="Q178" s="98"/>
      <c r="R178" s="98"/>
      <c r="S178" s="98"/>
      <c r="T178" s="98"/>
      <c r="U178" s="98">
        <v>0.95</v>
      </c>
      <c r="V178" s="98"/>
      <c r="W178" s="98"/>
      <c r="X178" s="101">
        <f t="shared" si="12"/>
        <v>0.95</v>
      </c>
      <c r="Y178" s="111">
        <v>2.6</v>
      </c>
      <c r="Z178" s="106" t="str">
        <f t="shared" si="13"/>
        <v>F</v>
      </c>
    </row>
    <row r="179" spans="1:33" s="107" customFormat="1">
      <c r="A179" s="97">
        <v>101</v>
      </c>
      <c r="B179" s="123" t="s">
        <v>298</v>
      </c>
      <c r="C179" s="98">
        <v>1994</v>
      </c>
      <c r="D179" s="123" t="s">
        <v>299</v>
      </c>
      <c r="E179" s="99" t="s">
        <v>172</v>
      </c>
      <c r="F179" s="98">
        <v>1994</v>
      </c>
      <c r="G179" s="98" t="s">
        <v>301</v>
      </c>
      <c r="H179" s="98" t="s">
        <v>302</v>
      </c>
      <c r="I179" s="98" t="s">
        <v>1014</v>
      </c>
      <c r="J179" s="98" t="s">
        <v>1013</v>
      </c>
      <c r="K179" s="98"/>
      <c r="L179" s="98" t="s">
        <v>303</v>
      </c>
      <c r="M179" s="98"/>
      <c r="N179" s="98"/>
      <c r="O179" s="98" t="s">
        <v>307</v>
      </c>
      <c r="P179" s="98"/>
      <c r="Q179" s="98"/>
      <c r="R179" s="98"/>
      <c r="S179" s="98"/>
      <c r="T179" s="98"/>
      <c r="U179" s="98">
        <v>0.96</v>
      </c>
      <c r="V179" s="98"/>
      <c r="W179" s="98"/>
      <c r="X179" s="101">
        <f t="shared" si="12"/>
        <v>0.96</v>
      </c>
      <c r="Y179" s="111">
        <v>4.3</v>
      </c>
      <c r="Z179" s="106" t="str">
        <f t="shared" si="13"/>
        <v>F</v>
      </c>
    </row>
    <row r="180" spans="1:33" s="107" customFormat="1">
      <c r="A180" s="97">
        <v>101</v>
      </c>
      <c r="B180" s="123" t="s">
        <v>298</v>
      </c>
      <c r="C180" s="98">
        <v>1994</v>
      </c>
      <c r="D180" s="123" t="s">
        <v>299</v>
      </c>
      <c r="E180" s="99" t="s">
        <v>172</v>
      </c>
      <c r="F180" s="98">
        <v>1994</v>
      </c>
      <c r="G180" s="98" t="s">
        <v>301</v>
      </c>
      <c r="H180" s="98" t="s">
        <v>302</v>
      </c>
      <c r="I180" s="98" t="s">
        <v>1014</v>
      </c>
      <c r="J180" s="98" t="s">
        <v>1013</v>
      </c>
      <c r="K180" s="98"/>
      <c r="L180" s="98" t="s">
        <v>303</v>
      </c>
      <c r="M180" s="98"/>
      <c r="N180" s="98"/>
      <c r="O180" s="98" t="s">
        <v>310</v>
      </c>
      <c r="P180" s="98"/>
      <c r="Q180" s="98"/>
      <c r="R180" s="98"/>
      <c r="S180" s="98"/>
      <c r="T180" s="98"/>
      <c r="U180" s="98">
        <v>0.97</v>
      </c>
      <c r="V180" s="98"/>
      <c r="W180" s="98"/>
      <c r="X180" s="101">
        <f t="shared" si="12"/>
        <v>0.97</v>
      </c>
      <c r="Y180" s="111">
        <v>1.8</v>
      </c>
      <c r="Z180" s="106" t="str">
        <f t="shared" si="13"/>
        <v>F</v>
      </c>
    </row>
    <row r="181" spans="1:33" s="45" customFormat="1">
      <c r="A181" s="53">
        <v>172</v>
      </c>
      <c r="B181" s="54" t="s">
        <v>585</v>
      </c>
      <c r="C181" s="54">
        <v>2010</v>
      </c>
      <c r="D181" s="54" t="s">
        <v>586</v>
      </c>
      <c r="E181" s="56" t="s">
        <v>589</v>
      </c>
      <c r="F181" s="57">
        <v>40234</v>
      </c>
      <c r="G181" s="54" t="s">
        <v>631</v>
      </c>
      <c r="H181" s="54" t="s">
        <v>159</v>
      </c>
      <c r="I181" s="54"/>
      <c r="J181" s="66" t="s">
        <v>1013</v>
      </c>
      <c r="K181" s="54" t="s">
        <v>1068</v>
      </c>
      <c r="L181" s="54" t="s">
        <v>632</v>
      </c>
      <c r="M181" s="88" t="s">
        <v>633</v>
      </c>
      <c r="N181" s="88"/>
      <c r="O181" s="54"/>
      <c r="P181" s="60"/>
      <c r="Q181" s="60"/>
      <c r="R181" s="54"/>
      <c r="S181" s="54"/>
      <c r="T181" s="54"/>
      <c r="U181" s="61">
        <v>0.93400000000000005</v>
      </c>
      <c r="V181" s="70"/>
      <c r="W181" s="70"/>
      <c r="X181" s="66">
        <f t="shared" si="12"/>
        <v>0.93400000000000005</v>
      </c>
      <c r="Y181" s="71">
        <v>3.9980000000000002</v>
      </c>
      <c r="Z181" s="192" t="str">
        <f t="shared" si="13"/>
        <v>F</v>
      </c>
      <c r="AA181" s="293"/>
      <c r="AB181" s="293" t="s">
        <v>1206</v>
      </c>
      <c r="AC181" s="293" t="s">
        <v>1207</v>
      </c>
      <c r="AD181" s="293" t="s">
        <v>1208</v>
      </c>
      <c r="AE181" s="293" t="s">
        <v>1209</v>
      </c>
      <c r="AF181" s="293" t="s">
        <v>1210</v>
      </c>
      <c r="AG181" s="293" t="s">
        <v>1211</v>
      </c>
    </row>
    <row r="182" spans="1:33" s="107" customFormat="1">
      <c r="A182" s="97">
        <v>121</v>
      </c>
      <c r="B182" s="103" t="s">
        <v>427</v>
      </c>
      <c r="C182" s="103">
        <v>2003</v>
      </c>
      <c r="D182" s="103" t="s">
        <v>428</v>
      </c>
      <c r="E182" s="99" t="s">
        <v>430</v>
      </c>
      <c r="F182" s="98">
        <v>2002</v>
      </c>
      <c r="G182" s="98" t="s">
        <v>461</v>
      </c>
      <c r="H182" s="98" t="s">
        <v>159</v>
      </c>
      <c r="I182" s="98"/>
      <c r="J182" s="98" t="s">
        <v>1013</v>
      </c>
      <c r="K182" s="98" t="s">
        <v>1138</v>
      </c>
      <c r="L182" s="98" t="s">
        <v>462</v>
      </c>
      <c r="M182" s="98" t="s">
        <v>463</v>
      </c>
      <c r="N182" s="98" t="s">
        <v>464</v>
      </c>
      <c r="O182" s="98" t="s">
        <v>465</v>
      </c>
      <c r="P182" s="98"/>
      <c r="Q182" s="98"/>
      <c r="R182" s="98"/>
      <c r="S182" s="98"/>
      <c r="T182" s="98"/>
      <c r="U182" s="98"/>
      <c r="V182" s="98"/>
      <c r="W182" s="98"/>
      <c r="X182" s="101" t="str">
        <f t="shared" si="12"/>
        <v/>
      </c>
      <c r="Y182" s="111">
        <v>2.4</v>
      </c>
      <c r="Z182" s="106" t="str">
        <f t="shared" si="13"/>
        <v/>
      </c>
      <c r="AA182" s="305" t="s">
        <v>1068</v>
      </c>
      <c r="AB182" s="299">
        <f>+$Y$181</f>
        <v>3.9980000000000002</v>
      </c>
      <c r="AC182" s="299"/>
      <c r="AD182" s="299"/>
      <c r="AE182" s="299"/>
      <c r="AF182" s="299"/>
      <c r="AG182" s="300">
        <f>COUNT(+$Y$181)</f>
        <v>1</v>
      </c>
    </row>
    <row r="183" spans="1:33" s="107" customFormat="1">
      <c r="A183" s="97">
        <v>121</v>
      </c>
      <c r="B183" s="103" t="s">
        <v>427</v>
      </c>
      <c r="C183" s="103">
        <v>2003</v>
      </c>
      <c r="D183" s="103" t="s">
        <v>428</v>
      </c>
      <c r="E183" s="99" t="s">
        <v>430</v>
      </c>
      <c r="F183" s="98">
        <v>2002</v>
      </c>
      <c r="G183" s="98" t="s">
        <v>461</v>
      </c>
      <c r="H183" s="98" t="s">
        <v>159</v>
      </c>
      <c r="I183" s="98"/>
      <c r="J183" s="98" t="s">
        <v>1013</v>
      </c>
      <c r="K183" s="98" t="s">
        <v>1138</v>
      </c>
      <c r="L183" s="98" t="s">
        <v>462</v>
      </c>
      <c r="M183" s="98" t="s">
        <v>463</v>
      </c>
      <c r="N183" s="98" t="s">
        <v>464</v>
      </c>
      <c r="O183" s="98" t="s">
        <v>469</v>
      </c>
      <c r="P183" s="98"/>
      <c r="Q183" s="98"/>
      <c r="R183" s="98"/>
      <c r="S183" s="98"/>
      <c r="T183" s="98"/>
      <c r="U183" s="98"/>
      <c r="V183" s="98"/>
      <c r="W183" s="98"/>
      <c r="X183" s="101" t="str">
        <f t="shared" si="12"/>
        <v/>
      </c>
      <c r="Y183" s="111">
        <v>6.2</v>
      </c>
      <c r="Z183" s="106" t="str">
        <f t="shared" si="13"/>
        <v/>
      </c>
      <c r="AA183" s="305" t="s">
        <v>1138</v>
      </c>
      <c r="AB183" s="299">
        <f>AVERAGE($Y$182:$Y$183)</f>
        <v>4.3</v>
      </c>
      <c r="AC183" s="299">
        <f>MEDIAN($Y$182:$Y$183)</f>
        <v>4.3</v>
      </c>
      <c r="AD183" s="299">
        <f>MAX($Y$182:$Y$183)</f>
        <v>6.2</v>
      </c>
      <c r="AE183" s="299">
        <f>MIN($Y$182:$Y$183)</f>
        <v>2.4</v>
      </c>
      <c r="AF183" s="299">
        <f>STDEV($Y$182:$Y$183)</f>
        <v>2.6870057685088815</v>
      </c>
      <c r="AG183" s="293">
        <f>COUNT($Y$182:$Y$183)</f>
        <v>2</v>
      </c>
    </row>
  </sheetData>
  <sortState ref="A134:AM173">
    <sortCondition ref="Z134:Z173"/>
    <sortCondition ref="X134:X173"/>
    <sortCondition descending="1" ref="W134:W173"/>
  </sortState>
  <dataValidations disablePrompts="1" count="1">
    <dataValidation showInputMessage="1" showErrorMessage="1" sqref="A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workbookViewId="0">
      <selection activeCell="A3" sqref="A3"/>
    </sheetView>
  </sheetViews>
  <sheetFormatPr baseColWidth="10" defaultRowHeight="15" x14ac:dyDescent="0"/>
  <cols>
    <col min="6" max="6" width="13.6640625" customWidth="1"/>
    <col min="11" max="11" width="31.1640625" bestFit="1" customWidth="1"/>
  </cols>
  <sheetData>
    <row r="1" spans="1:30">
      <c r="A1" s="148" t="s">
        <v>0</v>
      </c>
      <c r="B1" s="148" t="s">
        <v>1</v>
      </c>
      <c r="C1" s="148" t="s">
        <v>2</v>
      </c>
      <c r="D1" s="148" t="s">
        <v>3</v>
      </c>
      <c r="E1" s="148" t="s">
        <v>6</v>
      </c>
      <c r="F1" s="148" t="s">
        <v>7</v>
      </c>
      <c r="G1" s="148" t="s">
        <v>8</v>
      </c>
      <c r="H1" s="148" t="s">
        <v>10</v>
      </c>
      <c r="I1" s="148" t="s">
        <v>1010</v>
      </c>
      <c r="J1" s="148" t="s">
        <v>1011</v>
      </c>
      <c r="K1" s="148" t="s">
        <v>1012</v>
      </c>
      <c r="L1" s="148" t="s">
        <v>11</v>
      </c>
      <c r="M1" s="148" t="s">
        <v>12</v>
      </c>
      <c r="N1" s="148" t="s">
        <v>13</v>
      </c>
      <c r="O1" s="148" t="s">
        <v>14</v>
      </c>
      <c r="P1" s="148" t="s">
        <v>1124</v>
      </c>
      <c r="Q1" s="148" t="s">
        <v>1125</v>
      </c>
      <c r="R1" s="148" t="s">
        <v>1126</v>
      </c>
      <c r="S1" s="148" t="s">
        <v>1127</v>
      </c>
      <c r="T1" s="148" t="s">
        <v>1128</v>
      </c>
      <c r="U1" s="148" t="s">
        <v>1129</v>
      </c>
      <c r="V1" s="148" t="s">
        <v>1130</v>
      </c>
      <c r="W1" s="148" t="s">
        <v>1131</v>
      </c>
      <c r="X1" s="148" t="s">
        <v>1174</v>
      </c>
      <c r="Y1" s="148" t="s">
        <v>15</v>
      </c>
      <c r="Z1" s="148" t="s">
        <v>1176</v>
      </c>
    </row>
    <row r="2" spans="1:30">
      <c r="A2" t="s">
        <v>1345</v>
      </c>
    </row>
    <row r="3" spans="1:30" s="118" customFormat="1">
      <c r="A3" s="97">
        <v>63</v>
      </c>
      <c r="B3" s="103" t="s">
        <v>168</v>
      </c>
      <c r="C3" s="103">
        <v>1989</v>
      </c>
      <c r="D3" s="103" t="s">
        <v>169</v>
      </c>
      <c r="E3" s="99" t="s">
        <v>172</v>
      </c>
      <c r="F3" s="98" t="s">
        <v>179</v>
      </c>
      <c r="G3" s="98" t="s">
        <v>153</v>
      </c>
      <c r="H3" s="98" t="s">
        <v>95</v>
      </c>
      <c r="I3" s="98" t="s">
        <v>1014</v>
      </c>
      <c r="J3" s="101" t="s">
        <v>1013</v>
      </c>
      <c r="K3" s="98" t="s">
        <v>1042</v>
      </c>
      <c r="L3" s="98" t="s">
        <v>180</v>
      </c>
      <c r="M3" s="98"/>
      <c r="N3" s="98"/>
      <c r="O3" s="98" t="s">
        <v>155</v>
      </c>
      <c r="P3" s="98"/>
      <c r="Q3" s="98"/>
      <c r="R3" s="98"/>
      <c r="S3" s="98"/>
      <c r="T3" s="98"/>
      <c r="U3" s="98"/>
      <c r="V3" s="98"/>
      <c r="W3" s="98"/>
      <c r="X3" s="101" t="str">
        <f t="shared" ref="X3:X34" si="0">IF(R3&lt;&gt;0,IF(R3&gt;1,R3/100,R3),IF(U3&lt;&gt;0,IF(U3&gt;1,U3/100,U3),""))</f>
        <v/>
      </c>
      <c r="Y3" s="111">
        <v>2.6</v>
      </c>
      <c r="Z3" s="106" t="str">
        <f t="shared" ref="Z3:Z34" si="1">IF(X3&lt;&gt;"",IF(X3&lt;0.9,"S","F"),"")</f>
        <v/>
      </c>
      <c r="AA3" s="107"/>
      <c r="AB3" s="136" t="s">
        <v>1181</v>
      </c>
      <c r="AC3" s="136" t="s">
        <v>1180</v>
      </c>
      <c r="AD3" s="107"/>
    </row>
    <row r="4" spans="1:30" s="118" customFormat="1">
      <c r="A4" s="97">
        <v>63</v>
      </c>
      <c r="B4" s="103" t="s">
        <v>168</v>
      </c>
      <c r="C4" s="103">
        <v>1989</v>
      </c>
      <c r="D4" s="103" t="s">
        <v>169</v>
      </c>
      <c r="E4" s="99" t="s">
        <v>172</v>
      </c>
      <c r="F4" s="127">
        <v>32022</v>
      </c>
      <c r="G4" s="98" t="s">
        <v>176</v>
      </c>
      <c r="H4" s="98" t="s">
        <v>95</v>
      </c>
      <c r="I4" s="98" t="s">
        <v>1014</v>
      </c>
      <c r="J4" s="101" t="s">
        <v>1013</v>
      </c>
      <c r="K4" s="98" t="s">
        <v>1042</v>
      </c>
      <c r="L4" s="98" t="s">
        <v>177</v>
      </c>
      <c r="M4" s="98"/>
      <c r="N4" s="98"/>
      <c r="O4" s="98" t="s">
        <v>178</v>
      </c>
      <c r="P4" s="98"/>
      <c r="Q4" s="98"/>
      <c r="R4" s="98"/>
      <c r="S4" s="98"/>
      <c r="T4" s="98"/>
      <c r="U4" s="98"/>
      <c r="V4" s="98"/>
      <c r="W4" s="98"/>
      <c r="X4" s="101" t="str">
        <f t="shared" si="0"/>
        <v/>
      </c>
      <c r="Y4" s="111">
        <v>3</v>
      </c>
      <c r="Z4" s="106" t="str">
        <f t="shared" si="1"/>
        <v/>
      </c>
      <c r="AA4" s="107" t="s">
        <v>1179</v>
      </c>
      <c r="AB4" s="136">
        <f>AVERAGE($Y$5:$Y$22)</f>
        <v>4.7633333333333336</v>
      </c>
      <c r="AC4" s="136">
        <f>AVERAGE($Y$23:$Y$65)</f>
        <v>7.684418604651162</v>
      </c>
      <c r="AD4" s="107"/>
    </row>
    <row r="5" spans="1:30" s="118" customFormat="1">
      <c r="A5" s="97">
        <v>101</v>
      </c>
      <c r="B5" s="123" t="s">
        <v>298</v>
      </c>
      <c r="C5" s="98">
        <v>1994</v>
      </c>
      <c r="D5" s="123" t="s">
        <v>299</v>
      </c>
      <c r="E5" s="99" t="s">
        <v>172</v>
      </c>
      <c r="F5" s="98">
        <v>1994</v>
      </c>
      <c r="G5" s="98" t="s">
        <v>301</v>
      </c>
      <c r="H5" s="98" t="s">
        <v>302</v>
      </c>
      <c r="I5" s="98" t="s">
        <v>1014</v>
      </c>
      <c r="J5" s="98" t="s">
        <v>1013</v>
      </c>
      <c r="K5" s="98"/>
      <c r="L5" s="98" t="s">
        <v>303</v>
      </c>
      <c r="M5" s="98"/>
      <c r="N5" s="98"/>
      <c r="O5" s="98" t="s">
        <v>310</v>
      </c>
      <c r="P5" s="98"/>
      <c r="Q5" s="98"/>
      <c r="R5" s="98"/>
      <c r="S5" s="98"/>
      <c r="T5" s="98"/>
      <c r="U5" s="98">
        <v>0.97</v>
      </c>
      <c r="V5" s="98"/>
      <c r="W5" s="98"/>
      <c r="X5" s="101">
        <f t="shared" si="0"/>
        <v>0.97</v>
      </c>
      <c r="Y5" s="111">
        <v>1.8</v>
      </c>
      <c r="Z5" s="106" t="str">
        <f t="shared" si="1"/>
        <v>F</v>
      </c>
      <c r="AA5" s="107" t="s">
        <v>1182</v>
      </c>
      <c r="AB5" s="136">
        <f>MEDIAN($Y$5:$Y$22)</f>
        <v>5.0500000000000007</v>
      </c>
      <c r="AC5" s="136">
        <f>MEDIAN($Y$23:$Y$65)</f>
        <v>7.57</v>
      </c>
      <c r="AD5" s="107"/>
    </row>
    <row r="6" spans="1:30" s="118" customFormat="1">
      <c r="A6" s="97">
        <v>101</v>
      </c>
      <c r="B6" s="123" t="s">
        <v>298</v>
      </c>
      <c r="C6" s="98">
        <v>1994</v>
      </c>
      <c r="D6" s="123" t="s">
        <v>299</v>
      </c>
      <c r="E6" s="99" t="s">
        <v>172</v>
      </c>
      <c r="F6" s="98">
        <v>1994</v>
      </c>
      <c r="G6" s="98" t="s">
        <v>301</v>
      </c>
      <c r="H6" s="98" t="s">
        <v>302</v>
      </c>
      <c r="I6" s="98" t="s">
        <v>1014</v>
      </c>
      <c r="J6" s="98" t="s">
        <v>1013</v>
      </c>
      <c r="K6" s="98"/>
      <c r="L6" s="98" t="s">
        <v>303</v>
      </c>
      <c r="M6" s="98"/>
      <c r="N6" s="98"/>
      <c r="O6" s="98" t="s">
        <v>307</v>
      </c>
      <c r="P6" s="98"/>
      <c r="Q6" s="98"/>
      <c r="R6" s="98"/>
      <c r="S6" s="98"/>
      <c r="T6" s="98"/>
      <c r="U6" s="98">
        <v>0.96</v>
      </c>
      <c r="V6" s="98"/>
      <c r="W6" s="98"/>
      <c r="X6" s="101">
        <f t="shared" si="0"/>
        <v>0.96</v>
      </c>
      <c r="Y6" s="111">
        <v>4.3</v>
      </c>
      <c r="Z6" s="106" t="str">
        <f t="shared" si="1"/>
        <v>F</v>
      </c>
      <c r="AA6" s="107" t="s">
        <v>1183</v>
      </c>
      <c r="AB6" s="136">
        <f>MAX($Y$5:$Y$22)</f>
        <v>6.32</v>
      </c>
      <c r="AC6" s="136">
        <f>MAX($Y$23:$Y$65)</f>
        <v>12.09</v>
      </c>
      <c r="AD6" s="107"/>
    </row>
    <row r="7" spans="1:30" s="118" customFormat="1">
      <c r="A7" s="97">
        <v>101</v>
      </c>
      <c r="B7" s="123" t="s">
        <v>298</v>
      </c>
      <c r="C7" s="98">
        <v>1994</v>
      </c>
      <c r="D7" s="123" t="s">
        <v>299</v>
      </c>
      <c r="E7" s="99" t="s">
        <v>172</v>
      </c>
      <c r="F7" s="98">
        <v>1994</v>
      </c>
      <c r="G7" s="98" t="s">
        <v>301</v>
      </c>
      <c r="H7" s="98" t="s">
        <v>302</v>
      </c>
      <c r="I7" s="98" t="s">
        <v>1014</v>
      </c>
      <c r="J7" s="98" t="s">
        <v>1013</v>
      </c>
      <c r="K7" s="98"/>
      <c r="L7" s="98" t="s">
        <v>303</v>
      </c>
      <c r="M7" s="98"/>
      <c r="N7" s="98"/>
      <c r="O7" s="98" t="s">
        <v>305</v>
      </c>
      <c r="P7" s="98"/>
      <c r="Q7" s="98"/>
      <c r="R7" s="98"/>
      <c r="S7" s="98"/>
      <c r="T7" s="98"/>
      <c r="U7" s="98">
        <v>0.95</v>
      </c>
      <c r="V7" s="98"/>
      <c r="W7" s="98"/>
      <c r="X7" s="101">
        <f t="shared" si="0"/>
        <v>0.95</v>
      </c>
      <c r="Y7" s="111">
        <v>2.6</v>
      </c>
      <c r="Z7" s="106" t="str">
        <f t="shared" si="1"/>
        <v>F</v>
      </c>
      <c r="AA7" s="107" t="s">
        <v>1184</v>
      </c>
      <c r="AB7" s="136">
        <f>MIN($Y$5:$Y$22)</f>
        <v>1.8</v>
      </c>
      <c r="AC7" s="136">
        <f>MIN($Y$23:$Y$65)</f>
        <v>6.2</v>
      </c>
      <c r="AD7" s="107"/>
    </row>
    <row r="8" spans="1:30" s="118" customFormat="1">
      <c r="A8" s="97">
        <v>101</v>
      </c>
      <c r="B8" s="123" t="s">
        <v>298</v>
      </c>
      <c r="C8" s="98">
        <v>1994</v>
      </c>
      <c r="D8" s="123" t="s">
        <v>299</v>
      </c>
      <c r="E8" s="99" t="s">
        <v>172</v>
      </c>
      <c r="F8" s="98">
        <v>1994</v>
      </c>
      <c r="G8" s="98" t="s">
        <v>301</v>
      </c>
      <c r="H8" s="98" t="s">
        <v>302</v>
      </c>
      <c r="I8" s="98" t="s">
        <v>1014</v>
      </c>
      <c r="J8" s="98" t="s">
        <v>1013</v>
      </c>
      <c r="K8" s="98"/>
      <c r="L8" s="98" t="s">
        <v>303</v>
      </c>
      <c r="M8" s="98"/>
      <c r="N8" s="98"/>
      <c r="O8" s="98" t="s">
        <v>306</v>
      </c>
      <c r="P8" s="98"/>
      <c r="Q8" s="98"/>
      <c r="R8" s="98"/>
      <c r="S8" s="98"/>
      <c r="T8" s="98"/>
      <c r="U8" s="98">
        <v>0.94</v>
      </c>
      <c r="V8" s="98"/>
      <c r="W8" s="98"/>
      <c r="X8" s="101">
        <f t="shared" si="0"/>
        <v>0.94</v>
      </c>
      <c r="Y8" s="111">
        <v>2.6</v>
      </c>
      <c r="Z8" s="106" t="str">
        <f t="shared" si="1"/>
        <v>F</v>
      </c>
      <c r="AA8" s="118" t="s">
        <v>1190</v>
      </c>
      <c r="AB8" s="136">
        <f>STDEV($Y$5:$Y$22)</f>
        <v>1.3085915194230315</v>
      </c>
      <c r="AC8" s="136">
        <f>STDEV($Y$23:$Y$65)</f>
        <v>1.1590519572675002</v>
      </c>
    </row>
    <row r="9" spans="1:30" s="118" customFormat="1">
      <c r="A9" s="97">
        <v>101</v>
      </c>
      <c r="B9" s="123" t="s">
        <v>298</v>
      </c>
      <c r="C9" s="98">
        <v>1994</v>
      </c>
      <c r="D9" s="123" t="s">
        <v>299</v>
      </c>
      <c r="E9" s="99" t="s">
        <v>172</v>
      </c>
      <c r="F9" s="98">
        <v>1994</v>
      </c>
      <c r="G9" s="98" t="s">
        <v>301</v>
      </c>
      <c r="H9" s="98" t="s">
        <v>302</v>
      </c>
      <c r="I9" s="98" t="s">
        <v>1014</v>
      </c>
      <c r="J9" s="98" t="s">
        <v>1013</v>
      </c>
      <c r="K9" s="98"/>
      <c r="L9" s="98" t="s">
        <v>303</v>
      </c>
      <c r="M9" s="98"/>
      <c r="N9" s="98"/>
      <c r="O9" s="98" t="s">
        <v>308</v>
      </c>
      <c r="P9" s="98"/>
      <c r="Q9" s="98"/>
      <c r="R9" s="98"/>
      <c r="S9" s="98"/>
      <c r="T9" s="98"/>
      <c r="U9" s="98">
        <v>0.94</v>
      </c>
      <c r="V9" s="98"/>
      <c r="W9" s="98"/>
      <c r="X9" s="101">
        <f t="shared" si="0"/>
        <v>0.94</v>
      </c>
      <c r="Y9" s="111">
        <v>4.3</v>
      </c>
      <c r="Z9" s="106" t="str">
        <f t="shared" si="1"/>
        <v>F</v>
      </c>
      <c r="AA9" s="107" t="s">
        <v>1186</v>
      </c>
      <c r="AB9" s="138">
        <f>COUNT($Y$5:$Y$22)</f>
        <v>18</v>
      </c>
      <c r="AC9" s="138">
        <f>COUNT($Y$23:$Y$65)</f>
        <v>43</v>
      </c>
      <c r="AD9" s="107"/>
    </row>
    <row r="10" spans="1:30" s="118" customFormat="1">
      <c r="A10" s="97">
        <v>101</v>
      </c>
      <c r="B10" s="123" t="s">
        <v>298</v>
      </c>
      <c r="C10" s="98">
        <v>1994</v>
      </c>
      <c r="D10" s="123" t="s">
        <v>299</v>
      </c>
      <c r="E10" s="99" t="s">
        <v>172</v>
      </c>
      <c r="F10" s="98">
        <v>1994</v>
      </c>
      <c r="G10" s="98" t="s">
        <v>301</v>
      </c>
      <c r="H10" s="98" t="s">
        <v>302</v>
      </c>
      <c r="I10" s="98" t="s">
        <v>1014</v>
      </c>
      <c r="J10" s="98" t="s">
        <v>1013</v>
      </c>
      <c r="K10" s="98"/>
      <c r="L10" s="98" t="s">
        <v>303</v>
      </c>
      <c r="M10" s="98"/>
      <c r="N10" s="98"/>
      <c r="O10" s="98" t="s">
        <v>304</v>
      </c>
      <c r="P10" s="98"/>
      <c r="Q10" s="98"/>
      <c r="R10" s="98"/>
      <c r="S10" s="98"/>
      <c r="T10" s="98"/>
      <c r="U10" s="98">
        <v>0.94</v>
      </c>
      <c r="V10" s="98"/>
      <c r="W10" s="98"/>
      <c r="X10" s="101">
        <f t="shared" si="0"/>
        <v>0.94</v>
      </c>
      <c r="Y10" s="111">
        <v>4.5</v>
      </c>
      <c r="Z10" s="106" t="str">
        <f t="shared" si="1"/>
        <v>F</v>
      </c>
      <c r="AA10" s="107"/>
      <c r="AB10" s="107" t="s">
        <v>1127</v>
      </c>
      <c r="AC10" s="107" t="s">
        <v>1128</v>
      </c>
      <c r="AD10" s="107"/>
    </row>
    <row r="11" spans="1:30" s="118" customFormat="1">
      <c r="A11" s="101"/>
      <c r="B11" s="123" t="s">
        <v>766</v>
      </c>
      <c r="C11" s="98">
        <v>2013</v>
      </c>
      <c r="D11" s="101"/>
      <c r="E11" s="99" t="s">
        <v>172</v>
      </c>
      <c r="F11" s="98">
        <v>2011</v>
      </c>
      <c r="G11" s="98" t="s">
        <v>631</v>
      </c>
      <c r="H11" s="101" t="s">
        <v>159</v>
      </c>
      <c r="I11" s="101" t="s">
        <v>1014</v>
      </c>
      <c r="J11" s="115" t="s">
        <v>1013</v>
      </c>
      <c r="K11" s="115" t="s">
        <v>1096</v>
      </c>
      <c r="L11" s="98" t="s">
        <v>974</v>
      </c>
      <c r="M11" s="101"/>
      <c r="N11" s="101"/>
      <c r="O11" s="101" t="s">
        <v>972</v>
      </c>
      <c r="P11" s="101"/>
      <c r="Q11" s="101"/>
      <c r="R11" s="101"/>
      <c r="S11" s="101"/>
      <c r="T11" s="101"/>
      <c r="U11" s="98">
        <v>0.92300000000000004</v>
      </c>
      <c r="V11" s="101"/>
      <c r="W11" s="101"/>
      <c r="X11" s="101">
        <f t="shared" si="0"/>
        <v>0.92300000000000004</v>
      </c>
      <c r="Y11" s="111">
        <v>4.4000000000000004</v>
      </c>
      <c r="Z11" s="106" t="str">
        <f t="shared" si="1"/>
        <v>F</v>
      </c>
      <c r="AA11" s="107" t="s">
        <v>1179</v>
      </c>
      <c r="AB11" s="137">
        <f>AVERAGE($X$5:$X$22)</f>
        <v>0.9207777777777777</v>
      </c>
      <c r="AC11" s="137">
        <f>AVERAGE($X$23:$X$65)</f>
        <v>0.87851162790697668</v>
      </c>
      <c r="AD11" s="107"/>
    </row>
    <row r="12" spans="1:30" s="118" customFormat="1">
      <c r="A12" s="101"/>
      <c r="B12" s="123" t="s">
        <v>766</v>
      </c>
      <c r="C12" s="98">
        <v>2013</v>
      </c>
      <c r="D12" s="101"/>
      <c r="E12" s="99" t="s">
        <v>172</v>
      </c>
      <c r="F12" s="98">
        <v>2011</v>
      </c>
      <c r="G12" s="98" t="s">
        <v>631</v>
      </c>
      <c r="H12" s="101" t="s">
        <v>159</v>
      </c>
      <c r="I12" s="101" t="s">
        <v>1014</v>
      </c>
      <c r="J12" s="115" t="s">
        <v>1013</v>
      </c>
      <c r="K12" s="115" t="s">
        <v>1096</v>
      </c>
      <c r="L12" s="98" t="s">
        <v>978</v>
      </c>
      <c r="M12" s="101"/>
      <c r="N12" s="101"/>
      <c r="O12" s="101" t="s">
        <v>977</v>
      </c>
      <c r="P12" s="101"/>
      <c r="Q12" s="101"/>
      <c r="R12" s="101"/>
      <c r="S12" s="101"/>
      <c r="T12" s="101"/>
      <c r="U12" s="98">
        <v>0.91800000000000004</v>
      </c>
      <c r="V12" s="101"/>
      <c r="W12" s="101"/>
      <c r="X12" s="101">
        <f t="shared" si="0"/>
        <v>0.91800000000000004</v>
      </c>
      <c r="Y12" s="111">
        <v>4.95</v>
      </c>
      <c r="Z12" s="106" t="str">
        <f t="shared" si="1"/>
        <v>F</v>
      </c>
      <c r="AA12" s="107" t="s">
        <v>1182</v>
      </c>
      <c r="AB12" s="137">
        <f>MEDIAN($X$5:$X$22)</f>
        <v>0.91</v>
      </c>
      <c r="AC12" s="137">
        <f>MEDIAN($X$23:$X$65)</f>
        <v>0.876</v>
      </c>
      <c r="AD12" s="107"/>
    </row>
    <row r="13" spans="1:30" s="118" customFormat="1">
      <c r="A13" s="101"/>
      <c r="B13" s="123" t="s">
        <v>766</v>
      </c>
      <c r="C13" s="98">
        <v>2013</v>
      </c>
      <c r="D13" s="101"/>
      <c r="E13" s="99" t="s">
        <v>172</v>
      </c>
      <c r="F13" s="98">
        <v>2011</v>
      </c>
      <c r="G13" s="98" t="s">
        <v>631</v>
      </c>
      <c r="H13" s="101" t="s">
        <v>159</v>
      </c>
      <c r="I13" s="101" t="s">
        <v>1014</v>
      </c>
      <c r="J13" s="115" t="s">
        <v>1013</v>
      </c>
      <c r="K13" s="115" t="s">
        <v>1096</v>
      </c>
      <c r="L13" s="98" t="s">
        <v>975</v>
      </c>
      <c r="M13" s="101"/>
      <c r="N13" s="101"/>
      <c r="O13" s="101" t="s">
        <v>976</v>
      </c>
      <c r="P13" s="101"/>
      <c r="Q13" s="101"/>
      <c r="R13" s="101"/>
      <c r="S13" s="101"/>
      <c r="T13" s="101"/>
      <c r="U13" s="98">
        <v>0.91600000000000004</v>
      </c>
      <c r="V13" s="101"/>
      <c r="W13" s="101"/>
      <c r="X13" s="101">
        <f t="shared" si="0"/>
        <v>0.91600000000000004</v>
      </c>
      <c r="Y13" s="111">
        <v>4.5</v>
      </c>
      <c r="Z13" s="106" t="str">
        <f t="shared" si="1"/>
        <v>F</v>
      </c>
      <c r="AA13" s="107" t="s">
        <v>1183</v>
      </c>
      <c r="AB13" s="137">
        <f>MAX($X$5:$X$22)</f>
        <v>0.97</v>
      </c>
      <c r="AC13" s="137">
        <f>MAX($X$23:$X$65)</f>
        <v>0.89900000000000002</v>
      </c>
      <c r="AD13" s="107"/>
    </row>
    <row r="14" spans="1:30" s="118" customFormat="1">
      <c r="A14" s="101"/>
      <c r="B14" s="123" t="s">
        <v>766</v>
      </c>
      <c r="C14" s="98">
        <v>2013</v>
      </c>
      <c r="D14" s="101"/>
      <c r="E14" s="99" t="s">
        <v>172</v>
      </c>
      <c r="F14" s="98">
        <v>2011</v>
      </c>
      <c r="G14" s="98" t="s">
        <v>631</v>
      </c>
      <c r="H14" s="101" t="s">
        <v>159</v>
      </c>
      <c r="I14" s="101" t="s">
        <v>1014</v>
      </c>
      <c r="J14" s="115" t="s">
        <v>1013</v>
      </c>
      <c r="K14" s="115" t="s">
        <v>1096</v>
      </c>
      <c r="L14" s="98" t="s">
        <v>975</v>
      </c>
      <c r="M14" s="101"/>
      <c r="N14" s="101"/>
      <c r="O14" s="101" t="s">
        <v>976</v>
      </c>
      <c r="P14" s="101"/>
      <c r="Q14" s="101"/>
      <c r="R14" s="101"/>
      <c r="S14" s="101"/>
      <c r="T14" s="101"/>
      <c r="U14" s="98">
        <v>0.90400000000000003</v>
      </c>
      <c r="V14" s="101"/>
      <c r="W14" s="101"/>
      <c r="X14" s="101">
        <f t="shared" si="0"/>
        <v>0.90400000000000003</v>
      </c>
      <c r="Y14" s="111">
        <v>6.32</v>
      </c>
      <c r="Z14" s="106" t="str">
        <f t="shared" si="1"/>
        <v>F</v>
      </c>
      <c r="AA14" s="107" t="s">
        <v>1184</v>
      </c>
      <c r="AB14" s="137">
        <f>MIN($X$5:$X$22)</f>
        <v>0.9</v>
      </c>
      <c r="AC14" s="137">
        <f>MIN($X$23:$X$65)</f>
        <v>0.84499999999999997</v>
      </c>
    </row>
    <row r="15" spans="1:30" s="118" customFormat="1">
      <c r="A15" s="101"/>
      <c r="B15" s="123" t="s">
        <v>766</v>
      </c>
      <c r="C15" s="98">
        <v>2013</v>
      </c>
      <c r="D15" s="101"/>
      <c r="E15" s="99" t="s">
        <v>172</v>
      </c>
      <c r="F15" s="98">
        <v>2011</v>
      </c>
      <c r="G15" s="98" t="s">
        <v>631</v>
      </c>
      <c r="H15" s="101" t="s">
        <v>159</v>
      </c>
      <c r="I15" s="101" t="s">
        <v>1014</v>
      </c>
      <c r="J15" s="115" t="s">
        <v>1013</v>
      </c>
      <c r="K15" s="115" t="s">
        <v>1096</v>
      </c>
      <c r="L15" s="98" t="s">
        <v>974</v>
      </c>
      <c r="M15" s="101"/>
      <c r="N15" s="101"/>
      <c r="O15" s="101" t="s">
        <v>972</v>
      </c>
      <c r="P15" s="101"/>
      <c r="Q15" s="101"/>
      <c r="R15" s="101"/>
      <c r="S15" s="101"/>
      <c r="T15" s="101"/>
      <c r="U15" s="98">
        <v>0.90300000000000002</v>
      </c>
      <c r="V15" s="101"/>
      <c r="W15" s="101"/>
      <c r="X15" s="101">
        <f t="shared" si="0"/>
        <v>0.90300000000000002</v>
      </c>
      <c r="Y15" s="111">
        <v>5.51</v>
      </c>
      <c r="Z15" s="106" t="str">
        <f t="shared" si="1"/>
        <v>F</v>
      </c>
      <c r="AA15" s="118" t="s">
        <v>1190</v>
      </c>
      <c r="AB15" s="137">
        <f>STDEV($X$5:$X$22)</f>
        <v>2.3241837417380458E-2</v>
      </c>
      <c r="AC15" s="137">
        <f>STDEV($X$23:$X$65)</f>
        <v>1.2982354495206291E-2</v>
      </c>
    </row>
    <row r="16" spans="1:30" s="118" customFormat="1">
      <c r="A16" s="101"/>
      <c r="B16" s="123" t="s">
        <v>766</v>
      </c>
      <c r="C16" s="98">
        <v>2013</v>
      </c>
      <c r="D16" s="101"/>
      <c r="E16" s="99" t="s">
        <v>172</v>
      </c>
      <c r="F16" s="98">
        <v>2011</v>
      </c>
      <c r="G16" s="98" t="s">
        <v>631</v>
      </c>
      <c r="H16" s="101" t="s">
        <v>159</v>
      </c>
      <c r="I16" s="101" t="s">
        <v>1014</v>
      </c>
      <c r="J16" s="115" t="s">
        <v>1013</v>
      </c>
      <c r="K16" s="115" t="s">
        <v>1096</v>
      </c>
      <c r="L16" s="98" t="s">
        <v>975</v>
      </c>
      <c r="M16" s="101"/>
      <c r="N16" s="101"/>
      <c r="O16" s="101" t="s">
        <v>976</v>
      </c>
      <c r="P16" s="101"/>
      <c r="Q16" s="101"/>
      <c r="R16" s="101"/>
      <c r="S16" s="101"/>
      <c r="T16" s="101"/>
      <c r="U16" s="98">
        <v>0.90300000000000002</v>
      </c>
      <c r="V16" s="101"/>
      <c r="W16" s="101"/>
      <c r="X16" s="101">
        <f t="shared" si="0"/>
        <v>0.90300000000000002</v>
      </c>
      <c r="Y16" s="111">
        <v>5.27</v>
      </c>
      <c r="Z16" s="106" t="str">
        <f t="shared" si="1"/>
        <v>F</v>
      </c>
      <c r="AA16" s="107" t="s">
        <v>1186</v>
      </c>
      <c r="AB16" s="138">
        <f>COUNT($X$5:$X$22)</f>
        <v>18</v>
      </c>
      <c r="AC16" s="138">
        <f>COUNT($X$23:$X$65)</f>
        <v>43</v>
      </c>
      <c r="AD16" s="107"/>
    </row>
    <row r="17" spans="1:30" s="118" customFormat="1">
      <c r="A17" s="101"/>
      <c r="B17" s="123" t="s">
        <v>766</v>
      </c>
      <c r="C17" s="98">
        <v>2013</v>
      </c>
      <c r="D17" s="101"/>
      <c r="E17" s="99" t="s">
        <v>172</v>
      </c>
      <c r="F17" s="98">
        <v>2011</v>
      </c>
      <c r="G17" s="98" t="s">
        <v>631</v>
      </c>
      <c r="H17" s="101" t="s">
        <v>159</v>
      </c>
      <c r="I17" s="101" t="s">
        <v>1014</v>
      </c>
      <c r="J17" s="115" t="s">
        <v>1013</v>
      </c>
      <c r="K17" s="115" t="s">
        <v>1096</v>
      </c>
      <c r="L17" s="98" t="s">
        <v>975</v>
      </c>
      <c r="M17" s="101"/>
      <c r="N17" s="101"/>
      <c r="O17" s="101" t="s">
        <v>976</v>
      </c>
      <c r="P17" s="101"/>
      <c r="Q17" s="101"/>
      <c r="R17" s="101"/>
      <c r="S17" s="101"/>
      <c r="T17" s="101"/>
      <c r="U17" s="98">
        <v>0.90200000000000002</v>
      </c>
      <c r="V17" s="101"/>
      <c r="W17" s="101"/>
      <c r="X17" s="101">
        <f t="shared" si="0"/>
        <v>0.90200000000000002</v>
      </c>
      <c r="Y17" s="111">
        <v>5.15</v>
      </c>
      <c r="Z17" s="106" t="str">
        <f t="shared" si="1"/>
        <v>F</v>
      </c>
      <c r="AA17" s="107"/>
      <c r="AB17" s="107"/>
      <c r="AC17" s="107"/>
      <c r="AD17" s="107"/>
    </row>
    <row r="18" spans="1:30" s="118" customFormat="1">
      <c r="A18" s="101"/>
      <c r="B18" s="123" t="s">
        <v>766</v>
      </c>
      <c r="C18" s="98">
        <v>2013</v>
      </c>
      <c r="D18" s="101"/>
      <c r="E18" s="99" t="s">
        <v>172</v>
      </c>
      <c r="F18" s="98">
        <v>2011</v>
      </c>
      <c r="G18" s="98" t="s">
        <v>631</v>
      </c>
      <c r="H18" s="101" t="s">
        <v>159</v>
      </c>
      <c r="I18" s="101" t="s">
        <v>1014</v>
      </c>
      <c r="J18" s="115" t="s">
        <v>1013</v>
      </c>
      <c r="K18" s="115" t="s">
        <v>1096</v>
      </c>
      <c r="L18" s="98" t="s">
        <v>978</v>
      </c>
      <c r="M18" s="101"/>
      <c r="N18" s="101"/>
      <c r="O18" s="101" t="s">
        <v>977</v>
      </c>
      <c r="P18" s="101"/>
      <c r="Q18" s="101"/>
      <c r="R18" s="101"/>
      <c r="S18" s="101"/>
      <c r="T18" s="101"/>
      <c r="U18" s="98">
        <v>0.90200000000000002</v>
      </c>
      <c r="V18" s="101"/>
      <c r="W18" s="101"/>
      <c r="X18" s="101">
        <f t="shared" si="0"/>
        <v>0.90200000000000002</v>
      </c>
      <c r="Y18" s="111">
        <v>5.68</v>
      </c>
      <c r="Z18" s="106" t="str">
        <f t="shared" si="1"/>
        <v>F</v>
      </c>
      <c r="AA18" s="107"/>
      <c r="AB18" s="107"/>
      <c r="AC18" s="107"/>
      <c r="AD18" s="107"/>
    </row>
    <row r="19" spans="1:30" s="107" customFormat="1">
      <c r="A19" s="101"/>
      <c r="B19" s="123" t="s">
        <v>766</v>
      </c>
      <c r="C19" s="98">
        <v>2013</v>
      </c>
      <c r="D19" s="101"/>
      <c r="E19" s="99" t="s">
        <v>172</v>
      </c>
      <c r="F19" s="98">
        <v>2011</v>
      </c>
      <c r="G19" s="98" t="s">
        <v>631</v>
      </c>
      <c r="H19" s="101" t="s">
        <v>159</v>
      </c>
      <c r="I19" s="101" t="s">
        <v>1014</v>
      </c>
      <c r="J19" s="115" t="s">
        <v>1013</v>
      </c>
      <c r="K19" s="115" t="s">
        <v>1096</v>
      </c>
      <c r="L19" s="98" t="s">
        <v>974</v>
      </c>
      <c r="M19" s="101"/>
      <c r="N19" s="101"/>
      <c r="O19" s="101" t="s">
        <v>972</v>
      </c>
      <c r="P19" s="101"/>
      <c r="Q19" s="101"/>
      <c r="R19" s="101"/>
      <c r="S19" s="101"/>
      <c r="T19" s="101"/>
      <c r="U19" s="98">
        <v>0.90100000000000002</v>
      </c>
      <c r="V19" s="101"/>
      <c r="W19" s="101"/>
      <c r="X19" s="101">
        <f t="shared" si="0"/>
        <v>0.90100000000000002</v>
      </c>
      <c r="Y19" s="111">
        <v>5.87</v>
      </c>
      <c r="Z19" s="106" t="str">
        <f t="shared" si="1"/>
        <v>F</v>
      </c>
    </row>
    <row r="20" spans="1:30" s="107" customFormat="1">
      <c r="A20" s="101"/>
      <c r="B20" s="123" t="s">
        <v>766</v>
      </c>
      <c r="C20" s="98">
        <v>2013</v>
      </c>
      <c r="D20" s="101"/>
      <c r="E20" s="99" t="s">
        <v>172</v>
      </c>
      <c r="F20" s="98">
        <v>2011</v>
      </c>
      <c r="G20" s="98" t="s">
        <v>631</v>
      </c>
      <c r="H20" s="101" t="s">
        <v>159</v>
      </c>
      <c r="I20" s="101" t="s">
        <v>1014</v>
      </c>
      <c r="J20" s="115" t="s">
        <v>1013</v>
      </c>
      <c r="K20" s="115" t="s">
        <v>1096</v>
      </c>
      <c r="L20" s="98" t="s">
        <v>975</v>
      </c>
      <c r="M20" s="101"/>
      <c r="N20" s="101"/>
      <c r="O20" s="101" t="s">
        <v>976</v>
      </c>
      <c r="P20" s="101"/>
      <c r="Q20" s="101"/>
      <c r="R20" s="101"/>
      <c r="S20" s="101"/>
      <c r="T20" s="101"/>
      <c r="U20" s="98">
        <v>0.90100000000000002</v>
      </c>
      <c r="V20" s="101"/>
      <c r="W20" s="101"/>
      <c r="X20" s="101">
        <f t="shared" si="0"/>
        <v>0.90100000000000002</v>
      </c>
      <c r="Y20" s="111">
        <v>6.31</v>
      </c>
      <c r="Z20" s="106" t="str">
        <f t="shared" si="1"/>
        <v>F</v>
      </c>
      <c r="AA20" s="118"/>
      <c r="AB20" s="118"/>
      <c r="AC20" s="118"/>
      <c r="AD20" s="118"/>
    </row>
    <row r="21" spans="1:30" s="107" customFormat="1">
      <c r="A21" s="101"/>
      <c r="B21" s="123" t="s">
        <v>766</v>
      </c>
      <c r="C21" s="98">
        <v>2013</v>
      </c>
      <c r="D21" s="101"/>
      <c r="E21" s="99" t="s">
        <v>172</v>
      </c>
      <c r="F21" s="98">
        <v>2011</v>
      </c>
      <c r="G21" s="98" t="s">
        <v>631</v>
      </c>
      <c r="H21" s="101" t="s">
        <v>159</v>
      </c>
      <c r="I21" s="101" t="s">
        <v>1014</v>
      </c>
      <c r="J21" s="115" t="s">
        <v>1013</v>
      </c>
      <c r="K21" s="115" t="s">
        <v>1096</v>
      </c>
      <c r="L21" s="98" t="s">
        <v>974</v>
      </c>
      <c r="M21" s="101"/>
      <c r="N21" s="101"/>
      <c r="O21" s="101" t="s">
        <v>972</v>
      </c>
      <c r="P21" s="101"/>
      <c r="Q21" s="101"/>
      <c r="R21" s="101"/>
      <c r="S21" s="101"/>
      <c r="T21" s="101"/>
      <c r="U21" s="98">
        <v>0.90100000000000002</v>
      </c>
      <c r="V21" s="101"/>
      <c r="W21" s="101"/>
      <c r="X21" s="101">
        <f t="shared" si="0"/>
        <v>0.90100000000000002</v>
      </c>
      <c r="Y21" s="111">
        <v>6.03</v>
      </c>
      <c r="Z21" s="106" t="str">
        <f t="shared" si="1"/>
        <v>F</v>
      </c>
      <c r="AA21" s="118"/>
      <c r="AB21" s="118"/>
      <c r="AC21" s="118"/>
      <c r="AD21" s="118"/>
    </row>
    <row r="22" spans="1:30" s="107" customFormat="1">
      <c r="A22" s="101"/>
      <c r="B22" s="123" t="s">
        <v>766</v>
      </c>
      <c r="C22" s="98">
        <v>2013</v>
      </c>
      <c r="D22" s="101"/>
      <c r="E22" s="99" t="s">
        <v>172</v>
      </c>
      <c r="F22" s="98">
        <v>2011</v>
      </c>
      <c r="G22" s="98" t="s">
        <v>631</v>
      </c>
      <c r="H22" s="101" t="s">
        <v>159</v>
      </c>
      <c r="I22" s="101" t="s">
        <v>1014</v>
      </c>
      <c r="J22" s="115" t="s">
        <v>1013</v>
      </c>
      <c r="K22" s="115" t="s">
        <v>1096</v>
      </c>
      <c r="L22" s="98" t="s">
        <v>974</v>
      </c>
      <c r="M22" s="101"/>
      <c r="N22" s="101"/>
      <c r="O22" s="101" t="s">
        <v>972</v>
      </c>
      <c r="P22" s="101"/>
      <c r="Q22" s="101"/>
      <c r="R22" s="101"/>
      <c r="S22" s="101"/>
      <c r="T22" s="101"/>
      <c r="U22" s="98">
        <v>0.9</v>
      </c>
      <c r="V22" s="101"/>
      <c r="W22" s="101"/>
      <c r="X22" s="101">
        <f t="shared" si="0"/>
        <v>0.9</v>
      </c>
      <c r="Y22" s="111">
        <v>5.65</v>
      </c>
      <c r="Z22" s="106" t="str">
        <f t="shared" si="1"/>
        <v>F</v>
      </c>
    </row>
    <row r="23" spans="1:30" s="107" customFormat="1">
      <c r="A23" s="101"/>
      <c r="B23" s="123" t="s">
        <v>766</v>
      </c>
      <c r="C23" s="98">
        <v>2013</v>
      </c>
      <c r="D23" s="101"/>
      <c r="E23" s="99" t="s">
        <v>172</v>
      </c>
      <c r="F23" s="98">
        <v>2011</v>
      </c>
      <c r="G23" s="98" t="s">
        <v>631</v>
      </c>
      <c r="H23" s="101" t="s">
        <v>159</v>
      </c>
      <c r="I23" s="101" t="s">
        <v>1014</v>
      </c>
      <c r="J23" s="115" t="s">
        <v>1013</v>
      </c>
      <c r="K23" s="115" t="s">
        <v>1096</v>
      </c>
      <c r="L23" s="98" t="s">
        <v>975</v>
      </c>
      <c r="M23" s="101"/>
      <c r="N23" s="101"/>
      <c r="O23" s="101" t="s">
        <v>976</v>
      </c>
      <c r="P23" s="101"/>
      <c r="Q23" s="101"/>
      <c r="R23" s="101"/>
      <c r="S23" s="101"/>
      <c r="T23" s="101"/>
      <c r="U23" s="98">
        <v>0.89900000000000002</v>
      </c>
      <c r="V23" s="101"/>
      <c r="W23" s="101"/>
      <c r="X23" s="101">
        <f t="shared" si="0"/>
        <v>0.89900000000000002</v>
      </c>
      <c r="Y23" s="111">
        <v>6.28</v>
      </c>
      <c r="Z23" s="106" t="str">
        <f t="shared" si="1"/>
        <v>S</v>
      </c>
    </row>
    <row r="24" spans="1:30" s="107" customFormat="1">
      <c r="A24" s="101"/>
      <c r="B24" s="123" t="s">
        <v>766</v>
      </c>
      <c r="C24" s="98">
        <v>2013</v>
      </c>
      <c r="D24" s="101"/>
      <c r="E24" s="99" t="s">
        <v>172</v>
      </c>
      <c r="F24" s="98">
        <v>2011</v>
      </c>
      <c r="G24" s="98" t="s">
        <v>631</v>
      </c>
      <c r="H24" s="101" t="s">
        <v>159</v>
      </c>
      <c r="I24" s="101" t="s">
        <v>1014</v>
      </c>
      <c r="J24" s="115" t="s">
        <v>1013</v>
      </c>
      <c r="K24" s="115" t="s">
        <v>1096</v>
      </c>
      <c r="L24" s="98" t="s">
        <v>974</v>
      </c>
      <c r="M24" s="101"/>
      <c r="N24" s="101"/>
      <c r="O24" s="101" t="s">
        <v>972</v>
      </c>
      <c r="P24" s="101"/>
      <c r="Q24" s="101"/>
      <c r="R24" s="101"/>
      <c r="S24" s="101"/>
      <c r="T24" s="101"/>
      <c r="U24" s="98">
        <v>0.89800000000000002</v>
      </c>
      <c r="V24" s="101"/>
      <c r="W24" s="101"/>
      <c r="X24" s="101">
        <f t="shared" si="0"/>
        <v>0.89800000000000002</v>
      </c>
      <c r="Y24" s="111">
        <v>6.55</v>
      </c>
      <c r="Z24" s="106" t="str">
        <f t="shared" si="1"/>
        <v>S</v>
      </c>
    </row>
    <row r="25" spans="1:30" s="107" customFormat="1">
      <c r="A25" s="101"/>
      <c r="B25" s="123" t="s">
        <v>766</v>
      </c>
      <c r="C25" s="98">
        <v>2013</v>
      </c>
      <c r="D25" s="101"/>
      <c r="E25" s="99" t="s">
        <v>172</v>
      </c>
      <c r="F25" s="98">
        <v>2011</v>
      </c>
      <c r="G25" s="98" t="s">
        <v>631</v>
      </c>
      <c r="H25" s="101" t="s">
        <v>159</v>
      </c>
      <c r="I25" s="101" t="s">
        <v>1014</v>
      </c>
      <c r="J25" s="115" t="s">
        <v>1013</v>
      </c>
      <c r="K25" s="115" t="s">
        <v>1096</v>
      </c>
      <c r="L25" s="98" t="s">
        <v>978</v>
      </c>
      <c r="M25" s="101"/>
      <c r="N25" s="101"/>
      <c r="O25" s="101" t="s">
        <v>977</v>
      </c>
      <c r="P25" s="101"/>
      <c r="Q25" s="101"/>
      <c r="R25" s="101"/>
      <c r="S25" s="101"/>
      <c r="T25" s="101"/>
      <c r="U25" s="98">
        <v>0.89700000000000002</v>
      </c>
      <c r="V25" s="101"/>
      <c r="W25" s="101"/>
      <c r="X25" s="101">
        <f t="shared" si="0"/>
        <v>0.89700000000000002</v>
      </c>
      <c r="Y25" s="111">
        <v>6.2</v>
      </c>
      <c r="Z25" s="106" t="str">
        <f t="shared" si="1"/>
        <v>S</v>
      </c>
    </row>
    <row r="26" spans="1:30" s="107" customFormat="1">
      <c r="A26" s="101"/>
      <c r="B26" s="123" t="s">
        <v>766</v>
      </c>
      <c r="C26" s="98">
        <v>2013</v>
      </c>
      <c r="D26" s="101"/>
      <c r="E26" s="99" t="s">
        <v>172</v>
      </c>
      <c r="F26" s="98">
        <v>2011</v>
      </c>
      <c r="G26" s="98" t="s">
        <v>631</v>
      </c>
      <c r="H26" s="101" t="s">
        <v>159</v>
      </c>
      <c r="I26" s="101" t="s">
        <v>1014</v>
      </c>
      <c r="J26" s="115" t="s">
        <v>1013</v>
      </c>
      <c r="K26" s="115" t="s">
        <v>1096</v>
      </c>
      <c r="L26" s="98" t="s">
        <v>975</v>
      </c>
      <c r="M26" s="101"/>
      <c r="N26" s="101"/>
      <c r="O26" s="101" t="s">
        <v>976</v>
      </c>
      <c r="P26" s="101"/>
      <c r="Q26" s="101"/>
      <c r="R26" s="101"/>
      <c r="S26" s="101"/>
      <c r="T26" s="101"/>
      <c r="U26" s="98">
        <v>0.89500000000000002</v>
      </c>
      <c r="V26" s="101"/>
      <c r="W26" s="101"/>
      <c r="X26" s="101">
        <f t="shared" si="0"/>
        <v>0.89500000000000002</v>
      </c>
      <c r="Y26" s="111">
        <v>6.53</v>
      </c>
      <c r="Z26" s="106" t="str">
        <f t="shared" si="1"/>
        <v>S</v>
      </c>
      <c r="AA26" s="118"/>
      <c r="AB26" s="118"/>
      <c r="AC26" s="118"/>
      <c r="AD26" s="118"/>
    </row>
    <row r="27" spans="1:30" s="107" customFormat="1">
      <c r="A27" s="101"/>
      <c r="B27" s="123" t="s">
        <v>766</v>
      </c>
      <c r="C27" s="98">
        <v>2013</v>
      </c>
      <c r="D27" s="101"/>
      <c r="E27" s="99" t="s">
        <v>172</v>
      </c>
      <c r="F27" s="98">
        <v>2011</v>
      </c>
      <c r="G27" s="98" t="s">
        <v>631</v>
      </c>
      <c r="H27" s="101" t="s">
        <v>159</v>
      </c>
      <c r="I27" s="101" t="s">
        <v>1014</v>
      </c>
      <c r="J27" s="115" t="s">
        <v>1013</v>
      </c>
      <c r="K27" s="115" t="s">
        <v>1096</v>
      </c>
      <c r="L27" s="98" t="s">
        <v>978</v>
      </c>
      <c r="M27" s="101"/>
      <c r="N27" s="101"/>
      <c r="O27" s="101" t="s">
        <v>977</v>
      </c>
      <c r="P27" s="101"/>
      <c r="Q27" s="101"/>
      <c r="R27" s="101"/>
      <c r="S27" s="101"/>
      <c r="T27" s="101"/>
      <c r="U27" s="98">
        <v>0.89500000000000002</v>
      </c>
      <c r="V27" s="101"/>
      <c r="W27" s="101"/>
      <c r="X27" s="101">
        <f t="shared" si="0"/>
        <v>0.89500000000000002</v>
      </c>
      <c r="Y27" s="111">
        <v>6.39</v>
      </c>
      <c r="Z27" s="106" t="str">
        <f t="shared" si="1"/>
        <v>S</v>
      </c>
    </row>
    <row r="28" spans="1:30" s="107" customFormat="1">
      <c r="A28" s="101"/>
      <c r="B28" s="123" t="s">
        <v>766</v>
      </c>
      <c r="C28" s="98">
        <v>2013</v>
      </c>
      <c r="D28" s="101"/>
      <c r="E28" s="99" t="s">
        <v>172</v>
      </c>
      <c r="F28" s="98">
        <v>2011</v>
      </c>
      <c r="G28" s="98" t="s">
        <v>631</v>
      </c>
      <c r="H28" s="101" t="s">
        <v>159</v>
      </c>
      <c r="I28" s="101" t="s">
        <v>1014</v>
      </c>
      <c r="J28" s="115" t="s">
        <v>1013</v>
      </c>
      <c r="K28" s="115" t="s">
        <v>1096</v>
      </c>
      <c r="L28" s="98" t="s">
        <v>975</v>
      </c>
      <c r="M28" s="101"/>
      <c r="N28" s="101"/>
      <c r="O28" s="101" t="s">
        <v>976</v>
      </c>
      <c r="P28" s="101"/>
      <c r="Q28" s="101"/>
      <c r="R28" s="101"/>
      <c r="S28" s="101"/>
      <c r="T28" s="101"/>
      <c r="U28" s="98">
        <v>0.89400000000000002</v>
      </c>
      <c r="V28" s="101"/>
      <c r="W28" s="101"/>
      <c r="X28" s="101">
        <f t="shared" si="0"/>
        <v>0.89400000000000002</v>
      </c>
      <c r="Y28" s="111">
        <v>7.05</v>
      </c>
      <c r="Z28" s="106" t="str">
        <f t="shared" si="1"/>
        <v>S</v>
      </c>
    </row>
    <row r="29" spans="1:30" s="107" customFormat="1">
      <c r="A29" s="101"/>
      <c r="B29" s="123" t="s">
        <v>766</v>
      </c>
      <c r="C29" s="98">
        <v>2013</v>
      </c>
      <c r="D29" s="101"/>
      <c r="E29" s="99" t="s">
        <v>172</v>
      </c>
      <c r="F29" s="98">
        <v>2011</v>
      </c>
      <c r="G29" s="98" t="s">
        <v>631</v>
      </c>
      <c r="H29" s="101" t="s">
        <v>159</v>
      </c>
      <c r="I29" s="101" t="s">
        <v>1014</v>
      </c>
      <c r="J29" s="115" t="s">
        <v>1013</v>
      </c>
      <c r="K29" s="115" t="s">
        <v>1096</v>
      </c>
      <c r="L29" s="98" t="s">
        <v>974</v>
      </c>
      <c r="M29" s="101"/>
      <c r="N29" s="101"/>
      <c r="O29" s="101" t="s">
        <v>972</v>
      </c>
      <c r="P29" s="101"/>
      <c r="Q29" s="101"/>
      <c r="R29" s="101"/>
      <c r="S29" s="101"/>
      <c r="T29" s="101"/>
      <c r="U29" s="98">
        <v>0.89200000000000002</v>
      </c>
      <c r="V29" s="101"/>
      <c r="W29" s="101"/>
      <c r="X29" s="101">
        <f t="shared" si="0"/>
        <v>0.89200000000000002</v>
      </c>
      <c r="Y29" s="111">
        <v>6.62</v>
      </c>
      <c r="Z29" s="106" t="str">
        <f t="shared" si="1"/>
        <v>S</v>
      </c>
    </row>
    <row r="30" spans="1:30" s="107" customFormat="1">
      <c r="A30" s="101"/>
      <c r="B30" s="123" t="s">
        <v>766</v>
      </c>
      <c r="C30" s="98">
        <v>2013</v>
      </c>
      <c r="D30" s="101"/>
      <c r="E30" s="99" t="s">
        <v>172</v>
      </c>
      <c r="F30" s="98">
        <v>2011</v>
      </c>
      <c r="G30" s="98" t="s">
        <v>631</v>
      </c>
      <c r="H30" s="101" t="s">
        <v>159</v>
      </c>
      <c r="I30" s="101" t="s">
        <v>1014</v>
      </c>
      <c r="J30" s="115" t="s">
        <v>1013</v>
      </c>
      <c r="K30" s="115" t="s">
        <v>1096</v>
      </c>
      <c r="L30" s="98" t="s">
        <v>974</v>
      </c>
      <c r="M30" s="101"/>
      <c r="N30" s="101"/>
      <c r="O30" s="101" t="s">
        <v>972</v>
      </c>
      <c r="P30" s="101"/>
      <c r="Q30" s="101"/>
      <c r="R30" s="101"/>
      <c r="S30" s="101"/>
      <c r="T30" s="101"/>
      <c r="U30" s="98">
        <v>0.89200000000000002</v>
      </c>
      <c r="V30" s="101"/>
      <c r="W30" s="101"/>
      <c r="X30" s="101">
        <f t="shared" si="0"/>
        <v>0.89200000000000002</v>
      </c>
      <c r="Y30" s="111">
        <v>6.23</v>
      </c>
      <c r="Z30" s="106" t="str">
        <f t="shared" si="1"/>
        <v>S</v>
      </c>
      <c r="AA30" s="118"/>
      <c r="AB30" s="118"/>
      <c r="AC30" s="118"/>
      <c r="AD30" s="118"/>
    </row>
    <row r="31" spans="1:30" s="107" customFormat="1">
      <c r="A31" s="101"/>
      <c r="B31" s="123" t="s">
        <v>766</v>
      </c>
      <c r="C31" s="98">
        <v>2013</v>
      </c>
      <c r="D31" s="101"/>
      <c r="E31" s="99" t="s">
        <v>172</v>
      </c>
      <c r="F31" s="98">
        <v>2011</v>
      </c>
      <c r="G31" s="98" t="s">
        <v>631</v>
      </c>
      <c r="H31" s="101" t="s">
        <v>159</v>
      </c>
      <c r="I31" s="101" t="s">
        <v>1014</v>
      </c>
      <c r="J31" s="115" t="s">
        <v>1013</v>
      </c>
      <c r="K31" s="115" t="s">
        <v>1096</v>
      </c>
      <c r="L31" s="98" t="s">
        <v>974</v>
      </c>
      <c r="M31" s="101"/>
      <c r="N31" s="101"/>
      <c r="O31" s="101" t="s">
        <v>972</v>
      </c>
      <c r="P31" s="101"/>
      <c r="Q31" s="101"/>
      <c r="R31" s="101"/>
      <c r="S31" s="101"/>
      <c r="T31" s="101"/>
      <c r="U31" s="98">
        <v>0.89</v>
      </c>
      <c r="V31" s="101"/>
      <c r="W31" s="101"/>
      <c r="X31" s="101">
        <f t="shared" si="0"/>
        <v>0.89</v>
      </c>
      <c r="Y31" s="111">
        <v>6.74</v>
      </c>
      <c r="Z31" s="106" t="str">
        <f t="shared" si="1"/>
        <v>S</v>
      </c>
      <c r="AA31" s="118"/>
      <c r="AB31" s="118"/>
      <c r="AC31" s="118"/>
      <c r="AD31" s="118"/>
    </row>
    <row r="32" spans="1:30" s="107" customFormat="1">
      <c r="A32" s="101"/>
      <c r="B32" s="123" t="s">
        <v>766</v>
      </c>
      <c r="C32" s="98">
        <v>2013</v>
      </c>
      <c r="D32" s="101"/>
      <c r="E32" s="99" t="s">
        <v>172</v>
      </c>
      <c r="F32" s="98">
        <v>2011</v>
      </c>
      <c r="G32" s="98" t="s">
        <v>631</v>
      </c>
      <c r="H32" s="101" t="s">
        <v>159</v>
      </c>
      <c r="I32" s="101" t="s">
        <v>1014</v>
      </c>
      <c r="J32" s="115" t="s">
        <v>1013</v>
      </c>
      <c r="K32" s="115" t="s">
        <v>1096</v>
      </c>
      <c r="L32" s="98" t="s">
        <v>974</v>
      </c>
      <c r="M32" s="101"/>
      <c r="N32" s="101"/>
      <c r="O32" s="101" t="s">
        <v>972</v>
      </c>
      <c r="P32" s="101"/>
      <c r="Q32" s="101"/>
      <c r="R32" s="101"/>
      <c r="S32" s="101"/>
      <c r="T32" s="101"/>
      <c r="U32" s="98">
        <v>0.89</v>
      </c>
      <c r="V32" s="101"/>
      <c r="W32" s="101"/>
      <c r="X32" s="101">
        <f t="shared" si="0"/>
        <v>0.89</v>
      </c>
      <c r="Y32" s="111">
        <v>6.8</v>
      </c>
      <c r="Z32" s="106" t="str">
        <f t="shared" si="1"/>
        <v>S</v>
      </c>
    </row>
    <row r="33" spans="1:30" s="107" customFormat="1">
      <c r="A33" s="101"/>
      <c r="B33" s="123" t="s">
        <v>766</v>
      </c>
      <c r="C33" s="98">
        <v>2013</v>
      </c>
      <c r="D33" s="101"/>
      <c r="E33" s="99" t="s">
        <v>172</v>
      </c>
      <c r="F33" s="98">
        <v>2011</v>
      </c>
      <c r="G33" s="98" t="s">
        <v>631</v>
      </c>
      <c r="H33" s="101" t="s">
        <v>159</v>
      </c>
      <c r="I33" s="101" t="s">
        <v>1014</v>
      </c>
      <c r="J33" s="115" t="s">
        <v>1013</v>
      </c>
      <c r="K33" s="115" t="s">
        <v>1096</v>
      </c>
      <c r="L33" s="98" t="s">
        <v>975</v>
      </c>
      <c r="M33" s="101"/>
      <c r="N33" s="101"/>
      <c r="O33" s="101" t="s">
        <v>976</v>
      </c>
      <c r="P33" s="101"/>
      <c r="Q33" s="101"/>
      <c r="R33" s="101"/>
      <c r="S33" s="101"/>
      <c r="T33" s="101"/>
      <c r="U33" s="98">
        <v>0.89</v>
      </c>
      <c r="V33" s="101"/>
      <c r="W33" s="101"/>
      <c r="X33" s="101">
        <f t="shared" si="0"/>
        <v>0.89</v>
      </c>
      <c r="Y33" s="111">
        <v>7.57</v>
      </c>
      <c r="Z33" s="106" t="str">
        <f t="shared" si="1"/>
        <v>S</v>
      </c>
    </row>
    <row r="34" spans="1:30" s="107" customFormat="1">
      <c r="A34" s="101"/>
      <c r="B34" s="123" t="s">
        <v>766</v>
      </c>
      <c r="C34" s="98">
        <v>2013</v>
      </c>
      <c r="D34" s="101"/>
      <c r="E34" s="99" t="s">
        <v>172</v>
      </c>
      <c r="F34" s="98">
        <v>2011</v>
      </c>
      <c r="G34" s="98" t="s">
        <v>631</v>
      </c>
      <c r="H34" s="101" t="s">
        <v>159</v>
      </c>
      <c r="I34" s="101" t="s">
        <v>1014</v>
      </c>
      <c r="J34" s="115" t="s">
        <v>1013</v>
      </c>
      <c r="K34" s="115" t="s">
        <v>1096</v>
      </c>
      <c r="L34" s="98" t="s">
        <v>974</v>
      </c>
      <c r="M34" s="101"/>
      <c r="N34" s="101"/>
      <c r="O34" s="101" t="s">
        <v>972</v>
      </c>
      <c r="P34" s="101"/>
      <c r="Q34" s="101"/>
      <c r="R34" s="101"/>
      <c r="S34" s="101"/>
      <c r="T34" s="101"/>
      <c r="U34" s="98">
        <v>0.88900000000000001</v>
      </c>
      <c r="V34" s="101"/>
      <c r="W34" s="101"/>
      <c r="X34" s="101">
        <f t="shared" si="0"/>
        <v>0.88900000000000001</v>
      </c>
      <c r="Y34" s="111">
        <v>6.77</v>
      </c>
      <c r="Z34" s="106" t="str">
        <f t="shared" si="1"/>
        <v>S</v>
      </c>
    </row>
    <row r="35" spans="1:30" s="107" customFormat="1">
      <c r="A35" s="101"/>
      <c r="B35" s="123" t="s">
        <v>766</v>
      </c>
      <c r="C35" s="98">
        <v>2013</v>
      </c>
      <c r="D35" s="101"/>
      <c r="E35" s="99" t="s">
        <v>172</v>
      </c>
      <c r="F35" s="98">
        <v>2011</v>
      </c>
      <c r="G35" s="98" t="s">
        <v>631</v>
      </c>
      <c r="H35" s="101" t="s">
        <v>159</v>
      </c>
      <c r="I35" s="101" t="s">
        <v>1014</v>
      </c>
      <c r="J35" s="115" t="s">
        <v>1013</v>
      </c>
      <c r="K35" s="115" t="s">
        <v>1096</v>
      </c>
      <c r="L35" s="98" t="s">
        <v>978</v>
      </c>
      <c r="M35" s="101"/>
      <c r="N35" s="101"/>
      <c r="O35" s="101" t="s">
        <v>977</v>
      </c>
      <c r="P35" s="101"/>
      <c r="Q35" s="101"/>
      <c r="R35" s="101"/>
      <c r="S35" s="101"/>
      <c r="T35" s="101"/>
      <c r="U35" s="98">
        <v>0.88900000000000001</v>
      </c>
      <c r="V35" s="101"/>
      <c r="W35" s="101"/>
      <c r="X35" s="101">
        <f t="shared" ref="X35:X65" si="2">IF(R35&lt;&gt;0,IF(R35&gt;1,R35/100,R35),IF(U35&lt;&gt;0,IF(U35&gt;1,U35/100,U35),""))</f>
        <v>0.88900000000000001</v>
      </c>
      <c r="Y35" s="111">
        <v>7.76</v>
      </c>
      <c r="Z35" s="106" t="str">
        <f t="shared" ref="Z35:Z65" si="3">IF(X35&lt;&gt;"",IF(X35&lt;0.9,"S","F"),"")</f>
        <v>S</v>
      </c>
    </row>
    <row r="36" spans="1:30" s="107" customFormat="1">
      <c r="A36" s="101"/>
      <c r="B36" s="123" t="s">
        <v>766</v>
      </c>
      <c r="C36" s="98">
        <v>2013</v>
      </c>
      <c r="D36" s="101"/>
      <c r="E36" s="99" t="s">
        <v>172</v>
      </c>
      <c r="F36" s="98">
        <v>2011</v>
      </c>
      <c r="G36" s="98" t="s">
        <v>631</v>
      </c>
      <c r="H36" s="101" t="s">
        <v>159</v>
      </c>
      <c r="I36" s="101" t="s">
        <v>1014</v>
      </c>
      <c r="J36" s="115" t="s">
        <v>1013</v>
      </c>
      <c r="K36" s="115" t="s">
        <v>1096</v>
      </c>
      <c r="L36" s="98" t="s">
        <v>974</v>
      </c>
      <c r="M36" s="101"/>
      <c r="N36" s="101"/>
      <c r="O36" s="101" t="s">
        <v>972</v>
      </c>
      <c r="P36" s="101"/>
      <c r="Q36" s="101"/>
      <c r="R36" s="101"/>
      <c r="S36" s="101"/>
      <c r="T36" s="101"/>
      <c r="U36" s="98">
        <v>0.88600000000000001</v>
      </c>
      <c r="V36" s="101"/>
      <c r="W36" s="101"/>
      <c r="X36" s="101">
        <f t="shared" si="2"/>
        <v>0.88600000000000001</v>
      </c>
      <c r="Y36" s="111">
        <v>6.8</v>
      </c>
      <c r="Z36" s="106" t="str">
        <f t="shared" si="3"/>
        <v>S</v>
      </c>
      <c r="AA36" s="118"/>
      <c r="AB36" s="118"/>
      <c r="AC36" s="118"/>
      <c r="AD36" s="118"/>
    </row>
    <row r="37" spans="1:30" s="107" customFormat="1">
      <c r="A37" s="101"/>
      <c r="B37" s="123" t="s">
        <v>766</v>
      </c>
      <c r="C37" s="98">
        <v>2013</v>
      </c>
      <c r="D37" s="101"/>
      <c r="E37" s="99" t="s">
        <v>172</v>
      </c>
      <c r="F37" s="98">
        <v>2011</v>
      </c>
      <c r="G37" s="98" t="s">
        <v>631</v>
      </c>
      <c r="H37" s="101" t="s">
        <v>159</v>
      </c>
      <c r="I37" s="101" t="s">
        <v>1014</v>
      </c>
      <c r="J37" s="115" t="s">
        <v>1013</v>
      </c>
      <c r="K37" s="115" t="s">
        <v>1096</v>
      </c>
      <c r="L37" s="98" t="s">
        <v>978</v>
      </c>
      <c r="M37" s="101"/>
      <c r="N37" s="101"/>
      <c r="O37" s="101" t="s">
        <v>977</v>
      </c>
      <c r="P37" s="101"/>
      <c r="Q37" s="101"/>
      <c r="R37" s="101"/>
      <c r="S37" s="101"/>
      <c r="T37" s="101"/>
      <c r="U37" s="98">
        <v>0.88600000000000001</v>
      </c>
      <c r="V37" s="101"/>
      <c r="W37" s="101"/>
      <c r="X37" s="101">
        <f t="shared" si="2"/>
        <v>0.88600000000000001</v>
      </c>
      <c r="Y37" s="111">
        <v>7.15</v>
      </c>
      <c r="Z37" s="106" t="str">
        <f t="shared" si="3"/>
        <v>S</v>
      </c>
    </row>
    <row r="38" spans="1:30" s="107" customFormat="1">
      <c r="A38" s="101"/>
      <c r="B38" s="123" t="s">
        <v>766</v>
      </c>
      <c r="C38" s="98">
        <v>2013</v>
      </c>
      <c r="D38" s="101"/>
      <c r="E38" s="99" t="s">
        <v>172</v>
      </c>
      <c r="F38" s="98">
        <v>2011</v>
      </c>
      <c r="G38" s="98" t="s">
        <v>631</v>
      </c>
      <c r="H38" s="101" t="s">
        <v>159</v>
      </c>
      <c r="I38" s="101" t="s">
        <v>1014</v>
      </c>
      <c r="J38" s="115" t="s">
        <v>1013</v>
      </c>
      <c r="K38" s="115" t="s">
        <v>1096</v>
      </c>
      <c r="L38" s="98" t="s">
        <v>978</v>
      </c>
      <c r="M38" s="101"/>
      <c r="N38" s="101"/>
      <c r="O38" s="101" t="s">
        <v>977</v>
      </c>
      <c r="P38" s="101"/>
      <c r="Q38" s="101"/>
      <c r="R38" s="101"/>
      <c r="S38" s="101"/>
      <c r="T38" s="101"/>
      <c r="U38" s="98">
        <v>0.88500000000000001</v>
      </c>
      <c r="V38" s="101"/>
      <c r="W38" s="101"/>
      <c r="X38" s="101">
        <f t="shared" si="2"/>
        <v>0.88500000000000001</v>
      </c>
      <c r="Y38" s="111">
        <v>7.74</v>
      </c>
      <c r="Z38" s="106" t="str">
        <f t="shared" si="3"/>
        <v>S</v>
      </c>
      <c r="AA38" s="118"/>
      <c r="AB38" s="118"/>
      <c r="AC38" s="118"/>
      <c r="AD38" s="118"/>
    </row>
    <row r="39" spans="1:30" s="107" customFormat="1">
      <c r="A39" s="101"/>
      <c r="B39" s="123" t="s">
        <v>766</v>
      </c>
      <c r="C39" s="98">
        <v>2013</v>
      </c>
      <c r="D39" s="101"/>
      <c r="E39" s="99" t="s">
        <v>172</v>
      </c>
      <c r="F39" s="98">
        <v>2011</v>
      </c>
      <c r="G39" s="98" t="s">
        <v>631</v>
      </c>
      <c r="H39" s="101" t="s">
        <v>159</v>
      </c>
      <c r="I39" s="101" t="s">
        <v>1014</v>
      </c>
      <c r="J39" s="115" t="s">
        <v>1013</v>
      </c>
      <c r="K39" s="115" t="s">
        <v>1096</v>
      </c>
      <c r="L39" s="98" t="s">
        <v>974</v>
      </c>
      <c r="M39" s="101"/>
      <c r="N39" s="101"/>
      <c r="O39" s="101" t="s">
        <v>972</v>
      </c>
      <c r="P39" s="101"/>
      <c r="Q39" s="101"/>
      <c r="R39" s="101"/>
      <c r="S39" s="101"/>
      <c r="T39" s="101"/>
      <c r="U39" s="98">
        <v>0.88500000000000001</v>
      </c>
      <c r="V39" s="101"/>
      <c r="W39" s="101"/>
      <c r="X39" s="101">
        <f t="shared" si="2"/>
        <v>0.88500000000000001</v>
      </c>
      <c r="Y39" s="111">
        <v>7.18</v>
      </c>
      <c r="Z39" s="106" t="str">
        <f t="shared" si="3"/>
        <v>S</v>
      </c>
    </row>
    <row r="40" spans="1:30" s="107" customFormat="1">
      <c r="A40" s="101"/>
      <c r="B40" s="123" t="s">
        <v>766</v>
      </c>
      <c r="C40" s="98">
        <v>2013</v>
      </c>
      <c r="D40" s="101"/>
      <c r="E40" s="99" t="s">
        <v>172</v>
      </c>
      <c r="F40" s="98">
        <v>2011</v>
      </c>
      <c r="G40" s="98" t="s">
        <v>631</v>
      </c>
      <c r="H40" s="101" t="s">
        <v>159</v>
      </c>
      <c r="I40" s="101" t="s">
        <v>1014</v>
      </c>
      <c r="J40" s="115" t="s">
        <v>1013</v>
      </c>
      <c r="K40" s="115" t="s">
        <v>1096</v>
      </c>
      <c r="L40" s="98" t="s">
        <v>974</v>
      </c>
      <c r="M40" s="101"/>
      <c r="N40" s="101"/>
      <c r="O40" s="101" t="s">
        <v>972</v>
      </c>
      <c r="P40" s="101"/>
      <c r="Q40" s="101"/>
      <c r="R40" s="101"/>
      <c r="S40" s="101"/>
      <c r="T40" s="101"/>
      <c r="U40" s="98">
        <v>0.88400000000000001</v>
      </c>
      <c r="V40" s="101"/>
      <c r="W40" s="101"/>
      <c r="X40" s="101">
        <f t="shared" si="2"/>
        <v>0.88400000000000001</v>
      </c>
      <c r="Y40" s="111">
        <v>6.65</v>
      </c>
      <c r="Z40" s="106" t="str">
        <f t="shared" si="3"/>
        <v>S</v>
      </c>
      <c r="AA40" s="118"/>
      <c r="AB40" s="118"/>
      <c r="AC40" s="118"/>
      <c r="AD40" s="118"/>
    </row>
    <row r="41" spans="1:30" s="107" customFormat="1">
      <c r="A41" s="101"/>
      <c r="B41" s="123" t="s">
        <v>766</v>
      </c>
      <c r="C41" s="98">
        <v>2013</v>
      </c>
      <c r="D41" s="101"/>
      <c r="E41" s="99" t="s">
        <v>172</v>
      </c>
      <c r="F41" s="98">
        <v>2011</v>
      </c>
      <c r="G41" s="98" t="s">
        <v>631</v>
      </c>
      <c r="H41" s="101" t="s">
        <v>159</v>
      </c>
      <c r="I41" s="101" t="s">
        <v>1014</v>
      </c>
      <c r="J41" s="115" t="s">
        <v>1013</v>
      </c>
      <c r="K41" s="115" t="s">
        <v>1096</v>
      </c>
      <c r="L41" s="98" t="s">
        <v>974</v>
      </c>
      <c r="M41" s="101"/>
      <c r="N41" s="101"/>
      <c r="O41" s="101" t="s">
        <v>972</v>
      </c>
      <c r="P41" s="101"/>
      <c r="Q41" s="101"/>
      <c r="R41" s="101"/>
      <c r="S41" s="101"/>
      <c r="T41" s="101"/>
      <c r="U41" s="98">
        <v>0.88400000000000001</v>
      </c>
      <c r="V41" s="101"/>
      <c r="W41" s="101"/>
      <c r="X41" s="101">
        <f t="shared" si="2"/>
        <v>0.88400000000000001</v>
      </c>
      <c r="Y41" s="111">
        <v>7.83</v>
      </c>
      <c r="Z41" s="106" t="str">
        <f t="shared" si="3"/>
        <v>S</v>
      </c>
      <c r="AA41" s="118"/>
      <c r="AB41" s="118"/>
      <c r="AC41" s="118"/>
      <c r="AD41" s="118"/>
    </row>
    <row r="42" spans="1:30" s="107" customFormat="1">
      <c r="A42" s="101"/>
      <c r="B42" s="123" t="s">
        <v>766</v>
      </c>
      <c r="C42" s="98">
        <v>2013</v>
      </c>
      <c r="D42" s="101"/>
      <c r="E42" s="99" t="s">
        <v>172</v>
      </c>
      <c r="F42" s="98">
        <v>2011</v>
      </c>
      <c r="G42" s="98" t="s">
        <v>631</v>
      </c>
      <c r="H42" s="101" t="s">
        <v>159</v>
      </c>
      <c r="I42" s="101" t="s">
        <v>1014</v>
      </c>
      <c r="J42" s="115" t="s">
        <v>1013</v>
      </c>
      <c r="K42" s="115" t="s">
        <v>1096</v>
      </c>
      <c r="L42" s="98" t="s">
        <v>978</v>
      </c>
      <c r="M42" s="101"/>
      <c r="N42" s="101"/>
      <c r="O42" s="101" t="s">
        <v>977</v>
      </c>
      <c r="P42" s="101"/>
      <c r="Q42" s="101"/>
      <c r="R42" s="101"/>
      <c r="S42" s="101"/>
      <c r="T42" s="101"/>
      <c r="U42" s="98">
        <v>0.879</v>
      </c>
      <c r="V42" s="101"/>
      <c r="W42" s="101"/>
      <c r="X42" s="101">
        <f t="shared" si="2"/>
        <v>0.879</v>
      </c>
      <c r="Y42" s="111">
        <v>6.41</v>
      </c>
      <c r="Z42" s="106" t="str">
        <f t="shared" si="3"/>
        <v>S</v>
      </c>
      <c r="AA42" s="118"/>
      <c r="AB42" s="118"/>
      <c r="AC42" s="118"/>
      <c r="AD42" s="118"/>
    </row>
    <row r="43" spans="1:30" s="107" customFormat="1">
      <c r="A43" s="101"/>
      <c r="B43" s="123" t="s">
        <v>766</v>
      </c>
      <c r="C43" s="98">
        <v>2013</v>
      </c>
      <c r="D43" s="101"/>
      <c r="E43" s="99" t="s">
        <v>172</v>
      </c>
      <c r="F43" s="98">
        <v>2011</v>
      </c>
      <c r="G43" s="98" t="s">
        <v>631</v>
      </c>
      <c r="H43" s="101" t="s">
        <v>159</v>
      </c>
      <c r="I43" s="101" t="s">
        <v>1014</v>
      </c>
      <c r="J43" s="115" t="s">
        <v>1013</v>
      </c>
      <c r="K43" s="115" t="s">
        <v>1096</v>
      </c>
      <c r="L43" s="98" t="s">
        <v>978</v>
      </c>
      <c r="M43" s="101"/>
      <c r="N43" s="101"/>
      <c r="O43" s="101" t="s">
        <v>977</v>
      </c>
      <c r="P43" s="101"/>
      <c r="Q43" s="101"/>
      <c r="R43" s="101"/>
      <c r="S43" s="101"/>
      <c r="T43" s="101"/>
      <c r="U43" s="98">
        <v>0.878</v>
      </c>
      <c r="V43" s="101"/>
      <c r="W43" s="101"/>
      <c r="X43" s="101">
        <f t="shared" si="2"/>
        <v>0.878</v>
      </c>
      <c r="Y43" s="111">
        <v>7.36</v>
      </c>
      <c r="Z43" s="106" t="str">
        <f t="shared" si="3"/>
        <v>S</v>
      </c>
      <c r="AA43" s="118"/>
      <c r="AB43" s="118"/>
      <c r="AC43" s="118"/>
      <c r="AD43" s="118"/>
    </row>
    <row r="44" spans="1:30" s="107" customFormat="1">
      <c r="A44" s="101"/>
      <c r="B44" s="123" t="s">
        <v>766</v>
      </c>
      <c r="C44" s="98">
        <v>2013</v>
      </c>
      <c r="D44" s="101"/>
      <c r="E44" s="99" t="s">
        <v>172</v>
      </c>
      <c r="F44" s="98">
        <v>2011</v>
      </c>
      <c r="G44" s="98" t="s">
        <v>631</v>
      </c>
      <c r="H44" s="101" t="s">
        <v>159</v>
      </c>
      <c r="I44" s="101" t="s">
        <v>1014</v>
      </c>
      <c r="J44" s="115" t="s">
        <v>1013</v>
      </c>
      <c r="K44" s="115" t="s">
        <v>1096</v>
      </c>
      <c r="L44" s="98" t="s">
        <v>974</v>
      </c>
      <c r="M44" s="101"/>
      <c r="N44" s="101"/>
      <c r="O44" s="101" t="s">
        <v>972</v>
      </c>
      <c r="P44" s="101"/>
      <c r="Q44" s="101"/>
      <c r="R44" s="101"/>
      <c r="S44" s="101"/>
      <c r="T44" s="101"/>
      <c r="U44" s="98">
        <v>0.876</v>
      </c>
      <c r="V44" s="101"/>
      <c r="W44" s="101"/>
      <c r="X44" s="101">
        <f t="shared" si="2"/>
        <v>0.876</v>
      </c>
      <c r="Y44" s="111">
        <v>7.34</v>
      </c>
      <c r="Z44" s="106" t="str">
        <f t="shared" si="3"/>
        <v>S</v>
      </c>
      <c r="AA44" s="118"/>
      <c r="AB44" s="118"/>
      <c r="AC44" s="118"/>
      <c r="AD44" s="118"/>
    </row>
    <row r="45" spans="1:30" s="107" customFormat="1">
      <c r="A45" s="101"/>
      <c r="B45" s="123" t="s">
        <v>766</v>
      </c>
      <c r="C45" s="98">
        <v>2013</v>
      </c>
      <c r="D45" s="101"/>
      <c r="E45" s="99" t="s">
        <v>172</v>
      </c>
      <c r="F45" s="98">
        <v>2011</v>
      </c>
      <c r="G45" s="98" t="s">
        <v>631</v>
      </c>
      <c r="H45" s="101" t="s">
        <v>159</v>
      </c>
      <c r="I45" s="101" t="s">
        <v>1014</v>
      </c>
      <c r="J45" s="115" t="s">
        <v>1013</v>
      </c>
      <c r="K45" s="115" t="s">
        <v>1096</v>
      </c>
      <c r="L45" s="98" t="s">
        <v>978</v>
      </c>
      <c r="M45" s="101"/>
      <c r="N45" s="101"/>
      <c r="O45" s="101" t="s">
        <v>977</v>
      </c>
      <c r="P45" s="101"/>
      <c r="Q45" s="101"/>
      <c r="R45" s="101"/>
      <c r="S45" s="101"/>
      <c r="T45" s="101"/>
      <c r="U45" s="98">
        <v>0.876</v>
      </c>
      <c r="V45" s="101"/>
      <c r="W45" s="101"/>
      <c r="X45" s="101">
        <f t="shared" si="2"/>
        <v>0.876</v>
      </c>
      <c r="Y45" s="111">
        <v>7.2</v>
      </c>
      <c r="Z45" s="106" t="str">
        <f t="shared" si="3"/>
        <v>S</v>
      </c>
      <c r="AA45" s="118"/>
      <c r="AB45" s="118"/>
      <c r="AC45" s="118"/>
      <c r="AD45" s="118"/>
    </row>
    <row r="46" spans="1:30" s="107" customFormat="1">
      <c r="A46" s="101"/>
      <c r="B46" s="123" t="s">
        <v>766</v>
      </c>
      <c r="C46" s="98">
        <v>2013</v>
      </c>
      <c r="D46" s="101"/>
      <c r="E46" s="99" t="s">
        <v>172</v>
      </c>
      <c r="F46" s="98">
        <v>2011</v>
      </c>
      <c r="G46" s="98" t="s">
        <v>631</v>
      </c>
      <c r="H46" s="101" t="s">
        <v>159</v>
      </c>
      <c r="I46" s="101" t="s">
        <v>1014</v>
      </c>
      <c r="J46" s="115" t="s">
        <v>1013</v>
      </c>
      <c r="K46" s="115" t="s">
        <v>1096</v>
      </c>
      <c r="L46" s="98" t="s">
        <v>978</v>
      </c>
      <c r="M46" s="101"/>
      <c r="N46" s="101"/>
      <c r="O46" s="101" t="s">
        <v>977</v>
      </c>
      <c r="P46" s="101"/>
      <c r="Q46" s="101"/>
      <c r="R46" s="101"/>
      <c r="S46" s="101"/>
      <c r="T46" s="101"/>
      <c r="U46" s="98">
        <v>0.876</v>
      </c>
      <c r="V46" s="101"/>
      <c r="W46" s="101"/>
      <c r="X46" s="101">
        <f t="shared" si="2"/>
        <v>0.876</v>
      </c>
      <c r="Y46" s="111">
        <v>9.6199999999999992</v>
      </c>
      <c r="Z46" s="106" t="str">
        <f t="shared" si="3"/>
        <v>S</v>
      </c>
      <c r="AA46" s="118"/>
      <c r="AB46" s="118"/>
      <c r="AC46" s="118"/>
      <c r="AD46" s="118"/>
    </row>
    <row r="47" spans="1:30" s="107" customFormat="1">
      <c r="A47" s="101"/>
      <c r="B47" s="123" t="s">
        <v>766</v>
      </c>
      <c r="C47" s="98">
        <v>2013</v>
      </c>
      <c r="D47" s="101"/>
      <c r="E47" s="99" t="s">
        <v>172</v>
      </c>
      <c r="F47" s="98">
        <v>2011</v>
      </c>
      <c r="G47" s="98" t="s">
        <v>631</v>
      </c>
      <c r="H47" s="101" t="s">
        <v>159</v>
      </c>
      <c r="I47" s="101" t="s">
        <v>1014</v>
      </c>
      <c r="J47" s="115" t="s">
        <v>1013</v>
      </c>
      <c r="K47" s="115" t="s">
        <v>1096</v>
      </c>
      <c r="L47" s="98" t="s">
        <v>978</v>
      </c>
      <c r="M47" s="101"/>
      <c r="N47" s="101"/>
      <c r="O47" s="101" t="s">
        <v>977</v>
      </c>
      <c r="P47" s="101"/>
      <c r="Q47" s="101"/>
      <c r="R47" s="101"/>
      <c r="S47" s="101"/>
      <c r="T47" s="101"/>
      <c r="U47" s="98">
        <v>0.876</v>
      </c>
      <c r="V47" s="101"/>
      <c r="W47" s="101"/>
      <c r="X47" s="101">
        <f t="shared" si="2"/>
        <v>0.876</v>
      </c>
      <c r="Y47" s="111">
        <v>7.69</v>
      </c>
      <c r="Z47" s="106" t="str">
        <f t="shared" si="3"/>
        <v>S</v>
      </c>
      <c r="AA47" s="118"/>
      <c r="AB47" s="118"/>
      <c r="AC47" s="118"/>
      <c r="AD47" s="118"/>
    </row>
    <row r="48" spans="1:30" s="107" customFormat="1">
      <c r="A48" s="101"/>
      <c r="B48" s="123" t="s">
        <v>766</v>
      </c>
      <c r="C48" s="98">
        <v>2013</v>
      </c>
      <c r="D48" s="101"/>
      <c r="E48" s="99" t="s">
        <v>172</v>
      </c>
      <c r="F48" s="98">
        <v>2011</v>
      </c>
      <c r="G48" s="98" t="s">
        <v>631</v>
      </c>
      <c r="H48" s="101" t="s">
        <v>159</v>
      </c>
      <c r="I48" s="101" t="s">
        <v>1014</v>
      </c>
      <c r="J48" s="115" t="s">
        <v>1013</v>
      </c>
      <c r="K48" s="115" t="s">
        <v>1096</v>
      </c>
      <c r="L48" s="98" t="s">
        <v>978</v>
      </c>
      <c r="M48" s="101"/>
      <c r="N48" s="101"/>
      <c r="O48" s="101" t="s">
        <v>977</v>
      </c>
      <c r="P48" s="101"/>
      <c r="Q48" s="101"/>
      <c r="R48" s="101"/>
      <c r="S48" s="101"/>
      <c r="T48" s="101"/>
      <c r="U48" s="98">
        <v>0.876</v>
      </c>
      <c r="V48" s="101"/>
      <c r="W48" s="101"/>
      <c r="X48" s="101">
        <f t="shared" si="2"/>
        <v>0.876</v>
      </c>
      <c r="Y48" s="111">
        <v>7.78</v>
      </c>
      <c r="Z48" s="106" t="str">
        <f t="shared" si="3"/>
        <v>S</v>
      </c>
    </row>
    <row r="49" spans="1:26" s="107" customFormat="1">
      <c r="A49" s="101"/>
      <c r="B49" s="123" t="s">
        <v>766</v>
      </c>
      <c r="C49" s="98">
        <v>2013</v>
      </c>
      <c r="D49" s="101"/>
      <c r="E49" s="99" t="s">
        <v>172</v>
      </c>
      <c r="F49" s="98">
        <v>2011</v>
      </c>
      <c r="G49" s="98" t="s">
        <v>631</v>
      </c>
      <c r="H49" s="101" t="s">
        <v>159</v>
      </c>
      <c r="I49" s="101" t="s">
        <v>1014</v>
      </c>
      <c r="J49" s="115" t="s">
        <v>1013</v>
      </c>
      <c r="K49" s="115" t="s">
        <v>1096</v>
      </c>
      <c r="L49" s="98" t="s">
        <v>978</v>
      </c>
      <c r="M49" s="101"/>
      <c r="N49" s="101"/>
      <c r="O49" s="101" t="s">
        <v>977</v>
      </c>
      <c r="P49" s="101"/>
      <c r="Q49" s="101"/>
      <c r="R49" s="101"/>
      <c r="S49" s="101"/>
      <c r="T49" s="101"/>
      <c r="U49" s="98">
        <v>0.875</v>
      </c>
      <c r="V49" s="101"/>
      <c r="W49" s="101"/>
      <c r="X49" s="101">
        <f t="shared" si="2"/>
        <v>0.875</v>
      </c>
      <c r="Y49" s="111">
        <v>8.09</v>
      </c>
      <c r="Z49" s="106" t="str">
        <f t="shared" si="3"/>
        <v>S</v>
      </c>
    </row>
    <row r="50" spans="1:26" s="107" customFormat="1">
      <c r="A50" s="101"/>
      <c r="B50" s="123" t="s">
        <v>766</v>
      </c>
      <c r="C50" s="98">
        <v>2013</v>
      </c>
      <c r="D50" s="101"/>
      <c r="E50" s="99" t="s">
        <v>172</v>
      </c>
      <c r="F50" s="98">
        <v>2011</v>
      </c>
      <c r="G50" s="98" t="s">
        <v>631</v>
      </c>
      <c r="H50" s="101" t="s">
        <v>159</v>
      </c>
      <c r="I50" s="101" t="s">
        <v>1014</v>
      </c>
      <c r="J50" s="115" t="s">
        <v>1013</v>
      </c>
      <c r="K50" s="115" t="s">
        <v>1096</v>
      </c>
      <c r="L50" s="98" t="s">
        <v>974</v>
      </c>
      <c r="M50" s="101"/>
      <c r="N50" s="101"/>
      <c r="O50" s="101" t="s">
        <v>972</v>
      </c>
      <c r="P50" s="101"/>
      <c r="Q50" s="101"/>
      <c r="R50" s="101"/>
      <c r="S50" s="101"/>
      <c r="T50" s="101"/>
      <c r="U50" s="98">
        <v>0.875</v>
      </c>
      <c r="V50" s="101"/>
      <c r="W50" s="101"/>
      <c r="X50" s="101">
        <f t="shared" si="2"/>
        <v>0.875</v>
      </c>
      <c r="Y50" s="111">
        <v>7.07</v>
      </c>
      <c r="Z50" s="106" t="str">
        <f t="shared" si="3"/>
        <v>S</v>
      </c>
    </row>
    <row r="51" spans="1:26" s="107" customFormat="1">
      <c r="A51" s="101"/>
      <c r="B51" s="123" t="s">
        <v>766</v>
      </c>
      <c r="C51" s="98">
        <v>2013</v>
      </c>
      <c r="D51" s="101"/>
      <c r="E51" s="99" t="s">
        <v>172</v>
      </c>
      <c r="F51" s="98">
        <v>2011</v>
      </c>
      <c r="G51" s="98" t="s">
        <v>631</v>
      </c>
      <c r="H51" s="101" t="s">
        <v>159</v>
      </c>
      <c r="I51" s="101" t="s">
        <v>1014</v>
      </c>
      <c r="J51" s="115" t="s">
        <v>1013</v>
      </c>
      <c r="K51" s="115" t="s">
        <v>1096</v>
      </c>
      <c r="L51" s="98" t="s">
        <v>974</v>
      </c>
      <c r="M51" s="101"/>
      <c r="N51" s="101"/>
      <c r="O51" s="101" t="s">
        <v>972</v>
      </c>
      <c r="P51" s="101"/>
      <c r="Q51" s="101"/>
      <c r="R51" s="101"/>
      <c r="S51" s="101"/>
      <c r="T51" s="101"/>
      <c r="U51" s="98">
        <v>0.875</v>
      </c>
      <c r="V51" s="101"/>
      <c r="W51" s="101"/>
      <c r="X51" s="101">
        <f t="shared" si="2"/>
        <v>0.875</v>
      </c>
      <c r="Y51" s="111">
        <v>9.5</v>
      </c>
      <c r="Z51" s="106" t="str">
        <f t="shared" si="3"/>
        <v>S</v>
      </c>
    </row>
    <row r="52" spans="1:26" s="107" customFormat="1">
      <c r="A52" s="101"/>
      <c r="B52" s="123" t="s">
        <v>766</v>
      </c>
      <c r="C52" s="98">
        <v>2013</v>
      </c>
      <c r="D52" s="101"/>
      <c r="E52" s="99" t="s">
        <v>172</v>
      </c>
      <c r="F52" s="98">
        <v>2011</v>
      </c>
      <c r="G52" s="98" t="s">
        <v>631</v>
      </c>
      <c r="H52" s="101" t="s">
        <v>159</v>
      </c>
      <c r="I52" s="101" t="s">
        <v>1014</v>
      </c>
      <c r="J52" s="115" t="s">
        <v>1013</v>
      </c>
      <c r="K52" s="115" t="s">
        <v>1096</v>
      </c>
      <c r="L52" s="98" t="s">
        <v>978</v>
      </c>
      <c r="M52" s="101"/>
      <c r="N52" s="101"/>
      <c r="O52" s="101" t="s">
        <v>977</v>
      </c>
      <c r="P52" s="101"/>
      <c r="Q52" s="101"/>
      <c r="R52" s="101"/>
      <c r="S52" s="101"/>
      <c r="T52" s="101"/>
      <c r="U52" s="98">
        <v>0.873</v>
      </c>
      <c r="V52" s="101"/>
      <c r="W52" s="101"/>
      <c r="X52" s="101">
        <f t="shared" si="2"/>
        <v>0.873</v>
      </c>
      <c r="Y52" s="111">
        <v>7.46</v>
      </c>
      <c r="Z52" s="106" t="str">
        <f t="shared" si="3"/>
        <v>S</v>
      </c>
    </row>
    <row r="53" spans="1:26" s="107" customFormat="1">
      <c r="A53" s="101"/>
      <c r="B53" s="123" t="s">
        <v>766</v>
      </c>
      <c r="C53" s="98">
        <v>2013</v>
      </c>
      <c r="D53" s="101"/>
      <c r="E53" s="99" t="s">
        <v>172</v>
      </c>
      <c r="F53" s="98">
        <v>2011</v>
      </c>
      <c r="G53" s="98" t="s">
        <v>631</v>
      </c>
      <c r="H53" s="101" t="s">
        <v>159</v>
      </c>
      <c r="I53" s="101" t="s">
        <v>1014</v>
      </c>
      <c r="J53" s="115" t="s">
        <v>1013</v>
      </c>
      <c r="K53" s="115" t="s">
        <v>1096</v>
      </c>
      <c r="L53" s="98" t="s">
        <v>974</v>
      </c>
      <c r="M53" s="101"/>
      <c r="N53" s="101"/>
      <c r="O53" s="101" t="s">
        <v>972</v>
      </c>
      <c r="P53" s="101"/>
      <c r="Q53" s="101"/>
      <c r="R53" s="101"/>
      <c r="S53" s="101"/>
      <c r="T53" s="101"/>
      <c r="U53" s="98">
        <v>0.871</v>
      </c>
      <c r="V53" s="101"/>
      <c r="W53" s="101"/>
      <c r="X53" s="101">
        <f t="shared" si="2"/>
        <v>0.871</v>
      </c>
      <c r="Y53" s="111">
        <v>8.5299999999999994</v>
      </c>
      <c r="Z53" s="106" t="str">
        <f t="shared" si="3"/>
        <v>S</v>
      </c>
    </row>
    <row r="54" spans="1:26" s="107" customFormat="1">
      <c r="A54" s="101"/>
      <c r="B54" s="123" t="s">
        <v>766</v>
      </c>
      <c r="C54" s="98">
        <v>2013</v>
      </c>
      <c r="D54" s="101"/>
      <c r="E54" s="99" t="s">
        <v>172</v>
      </c>
      <c r="F54" s="98">
        <v>2011</v>
      </c>
      <c r="G54" s="98" t="s">
        <v>631</v>
      </c>
      <c r="H54" s="101" t="s">
        <v>159</v>
      </c>
      <c r="I54" s="101" t="s">
        <v>1014</v>
      </c>
      <c r="J54" s="115" t="s">
        <v>1013</v>
      </c>
      <c r="K54" s="115" t="s">
        <v>1096</v>
      </c>
      <c r="L54" s="98" t="s">
        <v>978</v>
      </c>
      <c r="M54" s="101"/>
      <c r="N54" s="101"/>
      <c r="O54" s="101" t="s">
        <v>977</v>
      </c>
      <c r="P54" s="101"/>
      <c r="Q54" s="101"/>
      <c r="R54" s="101"/>
      <c r="S54" s="101"/>
      <c r="T54" s="101"/>
      <c r="U54" s="98">
        <v>0.871</v>
      </c>
      <c r="V54" s="101"/>
      <c r="W54" s="101"/>
      <c r="X54" s="101">
        <f t="shared" si="2"/>
        <v>0.871</v>
      </c>
      <c r="Y54" s="111">
        <v>7.7</v>
      </c>
      <c r="Z54" s="106" t="str">
        <f t="shared" si="3"/>
        <v>S</v>
      </c>
    </row>
    <row r="55" spans="1:26" s="107" customFormat="1">
      <c r="A55" s="101"/>
      <c r="B55" s="123" t="s">
        <v>766</v>
      </c>
      <c r="C55" s="98">
        <v>2013</v>
      </c>
      <c r="D55" s="101"/>
      <c r="E55" s="99" t="s">
        <v>172</v>
      </c>
      <c r="F55" s="98">
        <v>2011</v>
      </c>
      <c r="G55" s="98" t="s">
        <v>631</v>
      </c>
      <c r="H55" s="101" t="s">
        <v>159</v>
      </c>
      <c r="I55" s="101" t="s">
        <v>1014</v>
      </c>
      <c r="J55" s="115" t="s">
        <v>1013</v>
      </c>
      <c r="K55" s="115" t="s">
        <v>1096</v>
      </c>
      <c r="L55" s="98" t="s">
        <v>978</v>
      </c>
      <c r="M55" s="101"/>
      <c r="N55" s="101"/>
      <c r="O55" s="101" t="s">
        <v>977</v>
      </c>
      <c r="P55" s="101"/>
      <c r="Q55" s="101"/>
      <c r="R55" s="101"/>
      <c r="S55" s="101"/>
      <c r="T55" s="101"/>
      <c r="U55" s="98">
        <v>0.86899999999999999</v>
      </c>
      <c r="V55" s="101"/>
      <c r="W55" s="101"/>
      <c r="X55" s="101">
        <f t="shared" si="2"/>
        <v>0.86899999999999999</v>
      </c>
      <c r="Y55" s="111">
        <v>8.7100000000000009</v>
      </c>
      <c r="Z55" s="106" t="str">
        <f t="shared" si="3"/>
        <v>S</v>
      </c>
    </row>
    <row r="56" spans="1:26" s="107" customFormat="1">
      <c r="A56" s="101"/>
      <c r="B56" s="123" t="s">
        <v>766</v>
      </c>
      <c r="C56" s="98">
        <v>2013</v>
      </c>
      <c r="D56" s="101"/>
      <c r="E56" s="99" t="s">
        <v>172</v>
      </c>
      <c r="F56" s="98">
        <v>2011</v>
      </c>
      <c r="G56" s="98" t="s">
        <v>631</v>
      </c>
      <c r="H56" s="101" t="s">
        <v>159</v>
      </c>
      <c r="I56" s="101" t="s">
        <v>1014</v>
      </c>
      <c r="J56" s="115" t="s">
        <v>1013</v>
      </c>
      <c r="K56" s="115" t="s">
        <v>1096</v>
      </c>
      <c r="L56" s="98" t="s">
        <v>974</v>
      </c>
      <c r="M56" s="101"/>
      <c r="N56" s="101"/>
      <c r="O56" s="101" t="s">
        <v>972</v>
      </c>
      <c r="P56" s="101"/>
      <c r="Q56" s="101"/>
      <c r="R56" s="101"/>
      <c r="S56" s="101"/>
      <c r="T56" s="101"/>
      <c r="U56" s="98">
        <v>0.86899999999999999</v>
      </c>
      <c r="V56" s="101"/>
      <c r="W56" s="101"/>
      <c r="X56" s="101">
        <f t="shared" si="2"/>
        <v>0.86899999999999999</v>
      </c>
      <c r="Y56" s="111">
        <v>9</v>
      </c>
      <c r="Z56" s="106" t="str">
        <f t="shared" si="3"/>
        <v>S</v>
      </c>
    </row>
    <row r="57" spans="1:26" s="107" customFormat="1">
      <c r="A57" s="101"/>
      <c r="B57" s="123" t="s">
        <v>766</v>
      </c>
      <c r="C57" s="98">
        <v>2013</v>
      </c>
      <c r="D57" s="101"/>
      <c r="E57" s="99" t="s">
        <v>172</v>
      </c>
      <c r="F57" s="98">
        <v>2011</v>
      </c>
      <c r="G57" s="98" t="s">
        <v>631</v>
      </c>
      <c r="H57" s="101" t="s">
        <v>159</v>
      </c>
      <c r="I57" s="101" t="s">
        <v>1014</v>
      </c>
      <c r="J57" s="115" t="s">
        <v>1013</v>
      </c>
      <c r="K57" s="115" t="s">
        <v>1096</v>
      </c>
      <c r="L57" s="98" t="s">
        <v>975</v>
      </c>
      <c r="M57" s="101"/>
      <c r="N57" s="101"/>
      <c r="O57" s="101" t="s">
        <v>976</v>
      </c>
      <c r="P57" s="101"/>
      <c r="Q57" s="101"/>
      <c r="R57" s="101"/>
      <c r="S57" s="101"/>
      <c r="T57" s="101"/>
      <c r="U57" s="98">
        <v>0.86599999999999999</v>
      </c>
      <c r="V57" s="101"/>
      <c r="W57" s="101"/>
      <c r="X57" s="101">
        <f t="shared" si="2"/>
        <v>0.86599999999999999</v>
      </c>
      <c r="Y57" s="111">
        <v>8.57</v>
      </c>
      <c r="Z57" s="106" t="str">
        <f t="shared" si="3"/>
        <v>S</v>
      </c>
    </row>
    <row r="58" spans="1:26" s="107" customFormat="1">
      <c r="A58" s="101"/>
      <c r="B58" s="123" t="s">
        <v>766</v>
      </c>
      <c r="C58" s="98">
        <v>2013</v>
      </c>
      <c r="D58" s="101"/>
      <c r="E58" s="99" t="s">
        <v>172</v>
      </c>
      <c r="F58" s="98">
        <v>2011</v>
      </c>
      <c r="G58" s="98" t="s">
        <v>631</v>
      </c>
      <c r="H58" s="101" t="s">
        <v>159</v>
      </c>
      <c r="I58" s="101" t="s">
        <v>1014</v>
      </c>
      <c r="J58" s="115" t="s">
        <v>1013</v>
      </c>
      <c r="K58" s="115" t="s">
        <v>1096</v>
      </c>
      <c r="L58" s="98" t="s">
        <v>978</v>
      </c>
      <c r="M58" s="101"/>
      <c r="N58" s="101"/>
      <c r="O58" s="101" t="s">
        <v>977</v>
      </c>
      <c r="P58" s="101"/>
      <c r="Q58" s="101"/>
      <c r="R58" s="101"/>
      <c r="S58" s="101"/>
      <c r="T58" s="101"/>
      <c r="U58" s="98">
        <v>0.86599999999999999</v>
      </c>
      <c r="V58" s="101"/>
      <c r="W58" s="101"/>
      <c r="X58" s="101">
        <f t="shared" si="2"/>
        <v>0.86599999999999999</v>
      </c>
      <c r="Y58" s="111">
        <v>8.1300000000000008</v>
      </c>
      <c r="Z58" s="106" t="str">
        <f t="shared" si="3"/>
        <v>S</v>
      </c>
    </row>
    <row r="59" spans="1:26" s="107" customFormat="1">
      <c r="A59" s="101"/>
      <c r="B59" s="123" t="s">
        <v>766</v>
      </c>
      <c r="C59" s="98">
        <v>2013</v>
      </c>
      <c r="D59" s="101"/>
      <c r="E59" s="99" t="s">
        <v>172</v>
      </c>
      <c r="F59" s="98">
        <v>2011</v>
      </c>
      <c r="G59" s="98" t="s">
        <v>631</v>
      </c>
      <c r="H59" s="101" t="s">
        <v>159</v>
      </c>
      <c r="I59" s="101" t="s">
        <v>1014</v>
      </c>
      <c r="J59" s="115" t="s">
        <v>1013</v>
      </c>
      <c r="K59" s="115" t="s">
        <v>1096</v>
      </c>
      <c r="L59" s="98" t="s">
        <v>978</v>
      </c>
      <c r="M59" s="101"/>
      <c r="N59" s="101"/>
      <c r="O59" s="101" t="s">
        <v>977</v>
      </c>
      <c r="P59" s="101"/>
      <c r="Q59" s="101"/>
      <c r="R59" s="101"/>
      <c r="S59" s="101"/>
      <c r="T59" s="101"/>
      <c r="U59" s="98">
        <v>0.86499999999999999</v>
      </c>
      <c r="V59" s="101"/>
      <c r="W59" s="101"/>
      <c r="X59" s="101">
        <f t="shared" si="2"/>
        <v>0.86499999999999999</v>
      </c>
      <c r="Y59" s="111">
        <v>8.65</v>
      </c>
      <c r="Z59" s="106" t="str">
        <f t="shared" si="3"/>
        <v>S</v>
      </c>
    </row>
    <row r="60" spans="1:26" s="107" customFormat="1">
      <c r="A60" s="101"/>
      <c r="B60" s="123" t="s">
        <v>766</v>
      </c>
      <c r="C60" s="98">
        <v>2013</v>
      </c>
      <c r="D60" s="101"/>
      <c r="E60" s="99" t="s">
        <v>172</v>
      </c>
      <c r="F60" s="98">
        <v>2011</v>
      </c>
      <c r="G60" s="98" t="s">
        <v>631</v>
      </c>
      <c r="H60" s="101" t="s">
        <v>159</v>
      </c>
      <c r="I60" s="101" t="s">
        <v>1014</v>
      </c>
      <c r="J60" s="115" t="s">
        <v>1013</v>
      </c>
      <c r="K60" s="115" t="s">
        <v>1096</v>
      </c>
      <c r="L60" s="98" t="s">
        <v>978</v>
      </c>
      <c r="M60" s="101"/>
      <c r="N60" s="101"/>
      <c r="O60" s="101" t="s">
        <v>977</v>
      </c>
      <c r="P60" s="101"/>
      <c r="Q60" s="101"/>
      <c r="R60" s="101"/>
      <c r="S60" s="101"/>
      <c r="T60" s="101"/>
      <c r="U60" s="98">
        <v>0.86399999999999999</v>
      </c>
      <c r="V60" s="101"/>
      <c r="W60" s="101"/>
      <c r="X60" s="101">
        <f t="shared" si="2"/>
        <v>0.86399999999999999</v>
      </c>
      <c r="Y60" s="111">
        <v>8.52</v>
      </c>
      <c r="Z60" s="106" t="str">
        <f t="shared" si="3"/>
        <v>S</v>
      </c>
    </row>
    <row r="61" spans="1:26" s="107" customFormat="1">
      <c r="A61" s="101"/>
      <c r="B61" s="123" t="s">
        <v>766</v>
      </c>
      <c r="C61" s="98">
        <v>2013</v>
      </c>
      <c r="D61" s="101"/>
      <c r="E61" s="99" t="s">
        <v>172</v>
      </c>
      <c r="F61" s="98">
        <v>2011</v>
      </c>
      <c r="G61" s="98" t="s">
        <v>631</v>
      </c>
      <c r="H61" s="101" t="s">
        <v>159</v>
      </c>
      <c r="I61" s="101" t="s">
        <v>1014</v>
      </c>
      <c r="J61" s="115" t="s">
        <v>1013</v>
      </c>
      <c r="K61" s="115" t="s">
        <v>1096</v>
      </c>
      <c r="L61" s="98" t="s">
        <v>978</v>
      </c>
      <c r="M61" s="101"/>
      <c r="N61" s="101"/>
      <c r="O61" s="101" t="s">
        <v>977</v>
      </c>
      <c r="P61" s="101"/>
      <c r="Q61" s="101"/>
      <c r="R61" s="101"/>
      <c r="S61" s="101"/>
      <c r="T61" s="101"/>
      <c r="U61" s="98">
        <v>0.86299999999999999</v>
      </c>
      <c r="V61" s="101"/>
      <c r="W61" s="101"/>
      <c r="X61" s="101">
        <f t="shared" si="2"/>
        <v>0.86299999999999999</v>
      </c>
      <c r="Y61" s="111">
        <v>8.17</v>
      </c>
      <c r="Z61" s="106" t="str">
        <f t="shared" si="3"/>
        <v>S</v>
      </c>
    </row>
    <row r="62" spans="1:26" s="107" customFormat="1">
      <c r="A62" s="101"/>
      <c r="B62" s="123" t="s">
        <v>766</v>
      </c>
      <c r="C62" s="98">
        <v>2013</v>
      </c>
      <c r="D62" s="101"/>
      <c r="E62" s="99" t="s">
        <v>172</v>
      </c>
      <c r="F62" s="98">
        <v>2011</v>
      </c>
      <c r="G62" s="98" t="s">
        <v>631</v>
      </c>
      <c r="H62" s="101" t="s">
        <v>159</v>
      </c>
      <c r="I62" s="101" t="s">
        <v>1014</v>
      </c>
      <c r="J62" s="115" t="s">
        <v>1013</v>
      </c>
      <c r="K62" s="115" t="s">
        <v>1096</v>
      </c>
      <c r="L62" s="98" t="s">
        <v>978</v>
      </c>
      <c r="M62" s="101"/>
      <c r="N62" s="101"/>
      <c r="O62" s="101" t="s">
        <v>977</v>
      </c>
      <c r="P62" s="101"/>
      <c r="Q62" s="101"/>
      <c r="R62" s="101"/>
      <c r="S62" s="101"/>
      <c r="T62" s="101"/>
      <c r="U62" s="98">
        <v>0.86299999999999999</v>
      </c>
      <c r="V62" s="101"/>
      <c r="W62" s="101"/>
      <c r="X62" s="101">
        <f t="shared" si="2"/>
        <v>0.86299999999999999</v>
      </c>
      <c r="Y62" s="111">
        <v>8.14</v>
      </c>
      <c r="Z62" s="106" t="str">
        <f t="shared" si="3"/>
        <v>S</v>
      </c>
    </row>
    <row r="63" spans="1:26" s="107" customFormat="1">
      <c r="A63" s="97">
        <v>101</v>
      </c>
      <c r="B63" s="123" t="s">
        <v>298</v>
      </c>
      <c r="C63" s="98">
        <v>1994</v>
      </c>
      <c r="D63" s="123" t="s">
        <v>299</v>
      </c>
      <c r="E63" s="99" t="s">
        <v>172</v>
      </c>
      <c r="F63" s="98">
        <v>1994</v>
      </c>
      <c r="G63" s="98" t="s">
        <v>301</v>
      </c>
      <c r="H63" s="98" t="s">
        <v>302</v>
      </c>
      <c r="I63" s="98" t="s">
        <v>1014</v>
      </c>
      <c r="J63" s="98" t="s">
        <v>1013</v>
      </c>
      <c r="K63" s="98"/>
      <c r="L63" s="98" t="s">
        <v>303</v>
      </c>
      <c r="M63" s="98"/>
      <c r="N63" s="98"/>
      <c r="O63" s="98" t="s">
        <v>309</v>
      </c>
      <c r="P63" s="98"/>
      <c r="Q63" s="98"/>
      <c r="R63" s="98"/>
      <c r="S63" s="98"/>
      <c r="T63" s="98"/>
      <c r="U63" s="98">
        <v>0.86</v>
      </c>
      <c r="V63" s="98"/>
      <c r="W63" s="98"/>
      <c r="X63" s="101">
        <f t="shared" si="2"/>
        <v>0.86</v>
      </c>
      <c r="Y63" s="111">
        <v>8.4</v>
      </c>
      <c r="Z63" s="106" t="str">
        <f t="shared" si="3"/>
        <v>S</v>
      </c>
    </row>
    <row r="64" spans="1:26" s="107" customFormat="1">
      <c r="A64" s="101"/>
      <c r="B64" s="123" t="s">
        <v>766</v>
      </c>
      <c r="C64" s="98">
        <v>2013</v>
      </c>
      <c r="D64" s="101"/>
      <c r="E64" s="99" t="s">
        <v>172</v>
      </c>
      <c r="F64" s="98">
        <v>2011</v>
      </c>
      <c r="G64" s="98" t="s">
        <v>631</v>
      </c>
      <c r="H64" s="101" t="s">
        <v>159</v>
      </c>
      <c r="I64" s="101" t="s">
        <v>1014</v>
      </c>
      <c r="J64" s="115" t="s">
        <v>1013</v>
      </c>
      <c r="K64" s="115" t="s">
        <v>1096</v>
      </c>
      <c r="L64" s="98" t="s">
        <v>974</v>
      </c>
      <c r="M64" s="101"/>
      <c r="N64" s="101"/>
      <c r="O64" s="101" t="s">
        <v>972</v>
      </c>
      <c r="P64" s="101"/>
      <c r="Q64" s="101"/>
      <c r="R64" s="101"/>
      <c r="S64" s="101"/>
      <c r="T64" s="101"/>
      <c r="U64" s="98">
        <v>0.84899999999999998</v>
      </c>
      <c r="V64" s="101"/>
      <c r="W64" s="101"/>
      <c r="X64" s="101">
        <f t="shared" si="2"/>
        <v>0.84899999999999998</v>
      </c>
      <c r="Y64" s="111">
        <v>12.09</v>
      </c>
      <c r="Z64" s="106" t="str">
        <f t="shared" si="3"/>
        <v>S</v>
      </c>
    </row>
    <row r="65" spans="1:30" s="107" customFormat="1">
      <c r="A65" s="101"/>
      <c r="B65" s="123" t="s">
        <v>766</v>
      </c>
      <c r="C65" s="98">
        <v>2013</v>
      </c>
      <c r="D65" s="101"/>
      <c r="E65" s="99" t="s">
        <v>172</v>
      </c>
      <c r="F65" s="98">
        <v>2011</v>
      </c>
      <c r="G65" s="98" t="s">
        <v>631</v>
      </c>
      <c r="H65" s="101" t="s">
        <v>159</v>
      </c>
      <c r="I65" s="101" t="s">
        <v>1014</v>
      </c>
      <c r="J65" s="115" t="s">
        <v>1013</v>
      </c>
      <c r="K65" s="115" t="s">
        <v>1096</v>
      </c>
      <c r="L65" s="98" t="s">
        <v>974</v>
      </c>
      <c r="M65" s="101"/>
      <c r="N65" s="101"/>
      <c r="O65" s="101" t="s">
        <v>972</v>
      </c>
      <c r="P65" s="101"/>
      <c r="Q65" s="101"/>
      <c r="R65" s="101"/>
      <c r="S65" s="101"/>
      <c r="T65" s="101"/>
      <c r="U65" s="98">
        <v>0.84499999999999997</v>
      </c>
      <c r="V65" s="101"/>
      <c r="W65" s="101"/>
      <c r="X65" s="101">
        <f t="shared" si="2"/>
        <v>0.84499999999999997</v>
      </c>
      <c r="Y65" s="111">
        <v>9.4600000000000009</v>
      </c>
      <c r="Z65" s="106" t="str">
        <f t="shared" si="3"/>
        <v>S</v>
      </c>
    </row>
    <row r="68" spans="1:30">
      <c r="A68" t="s">
        <v>1189</v>
      </c>
    </row>
    <row r="69" spans="1:30" s="118" customFormat="1">
      <c r="A69" s="97">
        <v>118</v>
      </c>
      <c r="B69" s="123" t="s">
        <v>399</v>
      </c>
      <c r="C69" s="98">
        <v>1999</v>
      </c>
      <c r="D69" s="123" t="s">
        <v>400</v>
      </c>
      <c r="E69" s="99" t="s">
        <v>20</v>
      </c>
      <c r="F69" s="98">
        <v>1999</v>
      </c>
      <c r="G69" s="98" t="s">
        <v>326</v>
      </c>
      <c r="H69" s="98" t="s">
        <v>159</v>
      </c>
      <c r="I69" s="98"/>
      <c r="J69" s="101" t="s">
        <v>1013</v>
      </c>
      <c r="K69" s="98" t="s">
        <v>1056</v>
      </c>
      <c r="L69" s="98" t="s">
        <v>406</v>
      </c>
      <c r="M69" s="98"/>
      <c r="N69" s="98"/>
      <c r="O69" s="98">
        <v>4</v>
      </c>
      <c r="P69" s="98"/>
      <c r="Q69" s="98"/>
      <c r="R69" s="98"/>
      <c r="S69" s="98"/>
      <c r="T69" s="98"/>
      <c r="U69" s="98">
        <v>0.98</v>
      </c>
      <c r="V69" s="98"/>
      <c r="W69" s="98"/>
      <c r="X69" s="101">
        <f t="shared" ref="X69:X101" si="4">IF(R69&lt;&gt;0,IF(R69&gt;1,R69/100,R69),IF(U69&lt;&gt;0,IF(U69&gt;1,U69/100,U69),""))</f>
        <v>0.98</v>
      </c>
      <c r="Y69" s="111">
        <v>1.1970000000000001</v>
      </c>
      <c r="Z69" s="106" t="str">
        <f t="shared" ref="Z69:Z101" si="5">IF(X69&lt;&gt;"",IF(X69&lt;0.9,"S","F"),"")</f>
        <v>F</v>
      </c>
      <c r="AA69" s="139"/>
      <c r="AB69" s="118" t="s">
        <v>1181</v>
      </c>
      <c r="AC69" s="118" t="s">
        <v>1180</v>
      </c>
    </row>
    <row r="70" spans="1:30" s="118" customFormat="1">
      <c r="A70" s="97">
        <v>118</v>
      </c>
      <c r="B70" s="123" t="s">
        <v>399</v>
      </c>
      <c r="C70" s="98">
        <v>1999</v>
      </c>
      <c r="D70" s="123" t="s">
        <v>400</v>
      </c>
      <c r="E70" s="99" t="s">
        <v>20</v>
      </c>
      <c r="F70" s="98">
        <v>1999</v>
      </c>
      <c r="G70" s="98" t="s">
        <v>326</v>
      </c>
      <c r="H70" s="98" t="s">
        <v>159</v>
      </c>
      <c r="I70" s="98"/>
      <c r="J70" s="124" t="s">
        <v>1013</v>
      </c>
      <c r="K70" s="103" t="s">
        <v>1056</v>
      </c>
      <c r="L70" s="98" t="s">
        <v>403</v>
      </c>
      <c r="M70" s="98"/>
      <c r="N70" s="98"/>
      <c r="O70" s="98">
        <v>1</v>
      </c>
      <c r="P70" s="98"/>
      <c r="Q70" s="98"/>
      <c r="R70" s="98"/>
      <c r="S70" s="98"/>
      <c r="T70" s="98"/>
      <c r="U70" s="98">
        <v>0.97</v>
      </c>
      <c r="V70" s="98"/>
      <c r="W70" s="98"/>
      <c r="X70" s="101">
        <f t="shared" si="4"/>
        <v>0.97</v>
      </c>
      <c r="Y70" s="111">
        <v>1.9390000000000001</v>
      </c>
      <c r="Z70" s="106" t="str">
        <f t="shared" si="5"/>
        <v>F</v>
      </c>
      <c r="AA70" s="118" t="s">
        <v>1179</v>
      </c>
      <c r="AB70" s="136">
        <f>AVERAGE($Y$69:$Y$95)</f>
        <v>3.2833163280740738</v>
      </c>
      <c r="AC70" s="136">
        <f>AVERAGE($Y$96:$Y$98)</f>
        <v>6.0109371430000005</v>
      </c>
    </row>
    <row r="71" spans="1:30" s="118" customFormat="1">
      <c r="A71" s="97">
        <v>172</v>
      </c>
      <c r="B71" s="98" t="s">
        <v>585</v>
      </c>
      <c r="C71" s="98">
        <v>2010</v>
      </c>
      <c r="D71" s="98" t="s">
        <v>586</v>
      </c>
      <c r="E71" s="99" t="s">
        <v>589</v>
      </c>
      <c r="F71" s="100">
        <v>40235</v>
      </c>
      <c r="G71" s="98" t="s">
        <v>631</v>
      </c>
      <c r="H71" s="98" t="s">
        <v>159</v>
      </c>
      <c r="I71" s="98"/>
      <c r="J71" s="101" t="s">
        <v>1013</v>
      </c>
      <c r="K71" s="98" t="s">
        <v>1069</v>
      </c>
      <c r="L71" s="98" t="s">
        <v>634</v>
      </c>
      <c r="M71" s="109" t="s">
        <v>635</v>
      </c>
      <c r="N71" s="109"/>
      <c r="O71" s="98"/>
      <c r="P71" s="103"/>
      <c r="Q71" s="103"/>
      <c r="R71" s="98"/>
      <c r="S71" s="98"/>
      <c r="T71" s="98"/>
      <c r="U71" s="104">
        <v>0.95899999999999996</v>
      </c>
      <c r="V71" s="104"/>
      <c r="W71" s="104"/>
      <c r="X71" s="101">
        <f t="shared" si="4"/>
        <v>0.95899999999999996</v>
      </c>
      <c r="Y71" s="105">
        <v>1.208</v>
      </c>
      <c r="Z71" s="106" t="str">
        <f t="shared" si="5"/>
        <v>F</v>
      </c>
      <c r="AA71" s="118" t="s">
        <v>1182</v>
      </c>
      <c r="AB71" s="136">
        <f>MEDIAN($Y$69:$Y$95)</f>
        <v>3.3247728580000002</v>
      </c>
      <c r="AC71" s="136">
        <f>MEDIAN($Y$96:$Y$98)</f>
        <v>5.23</v>
      </c>
    </row>
    <row r="72" spans="1:30" s="118" customFormat="1">
      <c r="A72" s="97">
        <v>118</v>
      </c>
      <c r="B72" s="123" t="s">
        <v>399</v>
      </c>
      <c r="C72" s="98">
        <v>1999</v>
      </c>
      <c r="D72" s="123" t="s">
        <v>400</v>
      </c>
      <c r="E72" s="99" t="s">
        <v>20</v>
      </c>
      <c r="F72" s="98">
        <v>1999</v>
      </c>
      <c r="G72" s="98" t="s">
        <v>326</v>
      </c>
      <c r="H72" s="98" t="s">
        <v>159</v>
      </c>
      <c r="I72" s="98"/>
      <c r="J72" s="101" t="s">
        <v>1013</v>
      </c>
      <c r="K72" s="98" t="s">
        <v>1054</v>
      </c>
      <c r="L72" s="98" t="s">
        <v>405</v>
      </c>
      <c r="M72" s="98"/>
      <c r="N72" s="98"/>
      <c r="O72" s="98">
        <v>3</v>
      </c>
      <c r="P72" s="98"/>
      <c r="Q72" s="98"/>
      <c r="R72" s="98"/>
      <c r="S72" s="98"/>
      <c r="T72" s="98"/>
      <c r="U72" s="98">
        <v>0.95</v>
      </c>
      <c r="V72" s="98"/>
      <c r="W72" s="98"/>
      <c r="X72" s="101">
        <f t="shared" si="4"/>
        <v>0.95</v>
      </c>
      <c r="Y72" s="111">
        <v>2.6640000000000001</v>
      </c>
      <c r="Z72" s="106" t="str">
        <f t="shared" si="5"/>
        <v>F</v>
      </c>
      <c r="AA72" s="107" t="s">
        <v>1183</v>
      </c>
      <c r="AB72" s="136">
        <f>MAX($Y$69:$Y$95)</f>
        <v>5.51</v>
      </c>
      <c r="AC72" s="136">
        <f>MAX($Y$96:$Y$98)</f>
        <v>7.94</v>
      </c>
      <c r="AD72" s="107"/>
    </row>
    <row r="73" spans="1:30" s="118" customFormat="1">
      <c r="A73" s="97">
        <v>181</v>
      </c>
      <c r="B73" s="98" t="s">
        <v>766</v>
      </c>
      <c r="C73" s="98">
        <v>2009</v>
      </c>
      <c r="D73" s="112" t="s">
        <v>767</v>
      </c>
      <c r="E73" s="113" t="s">
        <v>49</v>
      </c>
      <c r="F73" s="98"/>
      <c r="G73" s="98" t="s">
        <v>777</v>
      </c>
      <c r="H73" s="115" t="s">
        <v>581</v>
      </c>
      <c r="I73" s="115"/>
      <c r="J73" s="115" t="s">
        <v>1013</v>
      </c>
      <c r="K73" s="115" t="s">
        <v>1096</v>
      </c>
      <c r="L73" s="114" t="s">
        <v>775</v>
      </c>
      <c r="M73" s="114" t="s">
        <v>164</v>
      </c>
      <c r="N73" s="114"/>
      <c r="O73" s="114" t="s">
        <v>868</v>
      </c>
      <c r="P73" s="114"/>
      <c r="Q73" s="114"/>
      <c r="R73" s="98"/>
      <c r="S73" s="98"/>
      <c r="T73" s="98"/>
      <c r="U73" s="129">
        <v>0.94840097300000004</v>
      </c>
      <c r="V73" s="116"/>
      <c r="W73" s="116"/>
      <c r="X73" s="101">
        <f t="shared" si="4"/>
        <v>0.94840097300000004</v>
      </c>
      <c r="Y73" s="117">
        <v>1.620187928</v>
      </c>
      <c r="Z73" s="106" t="str">
        <f t="shared" si="5"/>
        <v>F</v>
      </c>
      <c r="AA73" s="107" t="s">
        <v>1184</v>
      </c>
      <c r="AB73" s="136">
        <f>MIN($Y$69:$Y$95)</f>
        <v>1.1970000000000001</v>
      </c>
      <c r="AC73" s="136">
        <f>MIN($Y$96:$Y$98)</f>
        <v>4.8628114289999997</v>
      </c>
      <c r="AD73" s="107"/>
    </row>
    <row r="74" spans="1:30" s="107" customFormat="1">
      <c r="A74" s="97">
        <v>181</v>
      </c>
      <c r="B74" s="98" t="s">
        <v>766</v>
      </c>
      <c r="C74" s="98">
        <v>2009</v>
      </c>
      <c r="D74" s="112" t="s">
        <v>767</v>
      </c>
      <c r="E74" s="113" t="s">
        <v>49</v>
      </c>
      <c r="F74" s="114" t="s">
        <v>814</v>
      </c>
      <c r="G74" s="98" t="s">
        <v>774</v>
      </c>
      <c r="H74" s="115" t="s">
        <v>581</v>
      </c>
      <c r="I74" s="115"/>
      <c r="J74" s="115" t="s">
        <v>1013</v>
      </c>
      <c r="K74" s="115" t="s">
        <v>1096</v>
      </c>
      <c r="L74" s="114" t="s">
        <v>775</v>
      </c>
      <c r="M74" s="114" t="s">
        <v>164</v>
      </c>
      <c r="N74" s="114"/>
      <c r="O74" s="114" t="s">
        <v>815</v>
      </c>
      <c r="P74" s="114"/>
      <c r="Q74" s="114"/>
      <c r="R74" s="98"/>
      <c r="S74" s="98"/>
      <c r="T74" s="98"/>
      <c r="U74" s="129">
        <v>0.93836761499999999</v>
      </c>
      <c r="V74" s="116"/>
      <c r="W74" s="116"/>
      <c r="X74" s="101">
        <f t="shared" si="4"/>
        <v>0.93836761499999999</v>
      </c>
      <c r="Y74" s="117">
        <v>2.4938022219999998</v>
      </c>
      <c r="Z74" s="106" t="str">
        <f t="shared" si="5"/>
        <v>F</v>
      </c>
      <c r="AA74" s="107" t="s">
        <v>1190</v>
      </c>
      <c r="AB74" s="136">
        <f>STDEV($Y$69:$Y$95)</f>
        <v>1.050321721587121</v>
      </c>
      <c r="AC74" s="136">
        <f>STDEV($Y$96:$Y$98)</f>
        <v>1.6806753081309331</v>
      </c>
    </row>
    <row r="75" spans="1:30" s="107" customFormat="1">
      <c r="A75" s="97">
        <v>172</v>
      </c>
      <c r="B75" s="98" t="s">
        <v>585</v>
      </c>
      <c r="C75" s="98">
        <v>2010</v>
      </c>
      <c r="D75" s="98" t="s">
        <v>586</v>
      </c>
      <c r="E75" s="99" t="s">
        <v>589</v>
      </c>
      <c r="F75" s="100">
        <v>40234</v>
      </c>
      <c r="G75" s="98" t="s">
        <v>631</v>
      </c>
      <c r="H75" s="98" t="s">
        <v>159</v>
      </c>
      <c r="I75" s="98"/>
      <c r="J75" s="101" t="s">
        <v>1013</v>
      </c>
      <c r="K75" s="98" t="s">
        <v>1068</v>
      </c>
      <c r="L75" s="98" t="s">
        <v>632</v>
      </c>
      <c r="M75" s="102" t="s">
        <v>633</v>
      </c>
      <c r="N75" s="102"/>
      <c r="O75" s="98"/>
      <c r="P75" s="103"/>
      <c r="Q75" s="103"/>
      <c r="R75" s="98"/>
      <c r="S75" s="98"/>
      <c r="T75" s="98"/>
      <c r="U75" s="104">
        <v>0.93400000000000005</v>
      </c>
      <c r="V75" s="128"/>
      <c r="W75" s="128"/>
      <c r="X75" s="101">
        <f t="shared" si="4"/>
        <v>0.93400000000000005</v>
      </c>
      <c r="Y75" s="122">
        <v>3.9980000000000002</v>
      </c>
      <c r="Z75" s="106" t="str">
        <f t="shared" si="5"/>
        <v>F</v>
      </c>
      <c r="AA75" s="107" t="s">
        <v>1186</v>
      </c>
      <c r="AB75" s="136">
        <f>COUNT($Y$69:$Y$95)</f>
        <v>27</v>
      </c>
      <c r="AC75" s="136">
        <f>COUNT($Y$96:$Y$98)</f>
        <v>3</v>
      </c>
    </row>
    <row r="76" spans="1:30" s="107" customFormat="1">
      <c r="A76" s="97">
        <v>181</v>
      </c>
      <c r="B76" s="98" t="s">
        <v>766</v>
      </c>
      <c r="C76" s="98">
        <v>2009</v>
      </c>
      <c r="D76" s="112" t="s">
        <v>767</v>
      </c>
      <c r="E76" s="113" t="s">
        <v>49</v>
      </c>
      <c r="F76" s="114" t="s">
        <v>773</v>
      </c>
      <c r="G76" s="98" t="s">
        <v>774</v>
      </c>
      <c r="H76" s="115" t="s">
        <v>581</v>
      </c>
      <c r="I76" s="115"/>
      <c r="J76" s="115" t="s">
        <v>1013</v>
      </c>
      <c r="K76" s="115" t="s">
        <v>1096</v>
      </c>
      <c r="L76" s="114" t="s">
        <v>775</v>
      </c>
      <c r="M76" s="114" t="s">
        <v>164</v>
      </c>
      <c r="N76" s="114"/>
      <c r="O76" s="114" t="s">
        <v>826</v>
      </c>
      <c r="P76" s="114"/>
      <c r="Q76" s="114"/>
      <c r="R76" s="98"/>
      <c r="S76" s="98"/>
      <c r="T76" s="98"/>
      <c r="U76" s="129">
        <v>0.93163082699999999</v>
      </c>
      <c r="V76" s="116"/>
      <c r="W76" s="116"/>
      <c r="X76" s="101">
        <f t="shared" si="4"/>
        <v>0.93163082699999999</v>
      </c>
      <c r="Y76" s="117">
        <v>2.2861858100000001</v>
      </c>
      <c r="Z76" s="106" t="str">
        <f t="shared" si="5"/>
        <v>F</v>
      </c>
      <c r="AA76" s="107" t="s">
        <v>1191</v>
      </c>
    </row>
    <row r="77" spans="1:30" s="107" customFormat="1">
      <c r="A77" s="97">
        <v>181</v>
      </c>
      <c r="B77" s="98" t="s">
        <v>766</v>
      </c>
      <c r="C77" s="98">
        <v>2009</v>
      </c>
      <c r="D77" s="112" t="s">
        <v>767</v>
      </c>
      <c r="E77" s="113" t="s">
        <v>49</v>
      </c>
      <c r="F77" s="114" t="s">
        <v>806</v>
      </c>
      <c r="G77" s="98" t="s">
        <v>777</v>
      </c>
      <c r="H77" s="115" t="s">
        <v>581</v>
      </c>
      <c r="I77" s="115"/>
      <c r="J77" s="115" t="s">
        <v>1013</v>
      </c>
      <c r="K77" s="115" t="s">
        <v>1096</v>
      </c>
      <c r="L77" s="114" t="s">
        <v>775</v>
      </c>
      <c r="M77" s="114" t="s">
        <v>164</v>
      </c>
      <c r="N77" s="114"/>
      <c r="O77" s="114" t="s">
        <v>807</v>
      </c>
      <c r="P77" s="114"/>
      <c r="Q77" s="114"/>
      <c r="R77" s="98"/>
      <c r="S77" s="98"/>
      <c r="T77" s="98"/>
      <c r="U77" s="129">
        <v>0.92572142999999996</v>
      </c>
      <c r="V77" s="116"/>
      <c r="W77" s="116"/>
      <c r="X77" s="101">
        <f t="shared" si="4"/>
        <v>0.92572142999999996</v>
      </c>
      <c r="Y77" s="117">
        <v>3.3247728580000002</v>
      </c>
      <c r="Z77" s="106" t="str">
        <f t="shared" si="5"/>
        <v>F</v>
      </c>
    </row>
    <row r="78" spans="1:30" s="107" customFormat="1">
      <c r="A78" s="97">
        <v>181</v>
      </c>
      <c r="B78" s="98" t="s">
        <v>766</v>
      </c>
      <c r="C78" s="98">
        <v>2009</v>
      </c>
      <c r="D78" s="112" t="s">
        <v>767</v>
      </c>
      <c r="E78" s="113" t="s">
        <v>49</v>
      </c>
      <c r="F78" s="114" t="s">
        <v>773</v>
      </c>
      <c r="G78" s="98" t="s">
        <v>832</v>
      </c>
      <c r="H78" s="115" t="s">
        <v>581</v>
      </c>
      <c r="I78" s="115"/>
      <c r="J78" s="115" t="s">
        <v>1013</v>
      </c>
      <c r="K78" s="115" t="s">
        <v>1096</v>
      </c>
      <c r="L78" s="114" t="s">
        <v>775</v>
      </c>
      <c r="M78" s="114" t="s">
        <v>164</v>
      </c>
      <c r="N78" s="114"/>
      <c r="O78" s="114" t="s">
        <v>833</v>
      </c>
      <c r="P78" s="114"/>
      <c r="Q78" s="114"/>
      <c r="R78" s="98"/>
      <c r="S78" s="98"/>
      <c r="T78" s="98"/>
      <c r="U78" s="129">
        <v>0.92401837899999995</v>
      </c>
      <c r="V78" s="116"/>
      <c r="W78" s="116"/>
      <c r="X78" s="101">
        <f t="shared" si="4"/>
        <v>0.92401837899999995</v>
      </c>
      <c r="Y78" s="117">
        <v>2.2641516469999998</v>
      </c>
      <c r="Z78" s="106" t="str">
        <f t="shared" si="5"/>
        <v>F</v>
      </c>
      <c r="AA78" s="139"/>
      <c r="AB78" s="118" t="s">
        <v>1181</v>
      </c>
      <c r="AC78" s="118" t="s">
        <v>1180</v>
      </c>
    </row>
    <row r="79" spans="1:30" s="107" customFormat="1">
      <c r="A79" s="97">
        <v>181</v>
      </c>
      <c r="B79" s="98" t="s">
        <v>766</v>
      </c>
      <c r="C79" s="98">
        <v>2009</v>
      </c>
      <c r="D79" s="112" t="s">
        <v>767</v>
      </c>
      <c r="E79" s="113" t="s">
        <v>49</v>
      </c>
      <c r="F79" s="114" t="s">
        <v>820</v>
      </c>
      <c r="G79" s="98" t="s">
        <v>821</v>
      </c>
      <c r="H79" s="115" t="s">
        <v>581</v>
      </c>
      <c r="I79" s="115"/>
      <c r="J79" s="115" t="s">
        <v>1013</v>
      </c>
      <c r="K79" s="115" t="s">
        <v>1096</v>
      </c>
      <c r="L79" s="114" t="s">
        <v>775</v>
      </c>
      <c r="M79" s="114" t="s">
        <v>164</v>
      </c>
      <c r="N79" s="114"/>
      <c r="O79" s="114" t="s">
        <v>822</v>
      </c>
      <c r="P79" s="114"/>
      <c r="Q79" s="114"/>
      <c r="R79" s="98"/>
      <c r="S79" s="98"/>
      <c r="T79" s="98"/>
      <c r="U79" s="129">
        <v>0.92372757000000005</v>
      </c>
      <c r="V79" s="116"/>
      <c r="W79" s="116"/>
      <c r="X79" s="101">
        <f t="shared" si="4"/>
        <v>0.92372757000000005</v>
      </c>
      <c r="Y79" s="117">
        <v>3.1247266319999998</v>
      </c>
      <c r="Z79" s="106" t="str">
        <f t="shared" si="5"/>
        <v>F</v>
      </c>
      <c r="AA79" s="118" t="s">
        <v>1179</v>
      </c>
      <c r="AB79" s="136">
        <f>AVERAGE($X$69:$X$95)</f>
        <v>0.92619572633333314</v>
      </c>
      <c r="AC79" s="136">
        <f>AVERAGE($X$96:$X$98)</f>
        <v>0.89147679333333329</v>
      </c>
    </row>
    <row r="80" spans="1:30" s="107" customFormat="1">
      <c r="A80" s="97">
        <v>174</v>
      </c>
      <c r="B80" s="98" t="s">
        <v>697</v>
      </c>
      <c r="C80" s="98">
        <v>2009</v>
      </c>
      <c r="D80" s="108" t="s">
        <v>698</v>
      </c>
      <c r="E80" s="99" t="s">
        <v>20</v>
      </c>
      <c r="F80" s="100" t="s">
        <v>701</v>
      </c>
      <c r="G80" s="98" t="s">
        <v>705</v>
      </c>
      <c r="H80" s="98" t="s">
        <v>159</v>
      </c>
      <c r="I80" s="98"/>
      <c r="J80" s="101" t="s">
        <v>1013</v>
      </c>
      <c r="K80" s="98" t="s">
        <v>1091</v>
      </c>
      <c r="L80" s="98" t="s">
        <v>725</v>
      </c>
      <c r="M80" s="109"/>
      <c r="N80" s="109"/>
      <c r="O80" s="98" t="s">
        <v>725</v>
      </c>
      <c r="P80" s="103"/>
      <c r="Q80" s="103"/>
      <c r="R80" s="98"/>
      <c r="S80" s="98"/>
      <c r="T80" s="98"/>
      <c r="U80" s="104">
        <v>0.92</v>
      </c>
      <c r="V80" s="104"/>
      <c r="W80" s="104"/>
      <c r="X80" s="101">
        <f t="shared" si="4"/>
        <v>0.92</v>
      </c>
      <c r="Y80" s="110">
        <v>4.2</v>
      </c>
      <c r="Z80" s="106" t="str">
        <f t="shared" si="5"/>
        <v>F</v>
      </c>
      <c r="AA80" s="118" t="s">
        <v>1182</v>
      </c>
      <c r="AB80" s="136">
        <f>MEDIAN($X$69:$X$95)</f>
        <v>0.91865929800000001</v>
      </c>
      <c r="AC80" s="136">
        <f>MEDIAN($X$96:$X$98)</f>
        <v>0.88962645699999998</v>
      </c>
    </row>
    <row r="81" spans="1:29" s="107" customFormat="1">
      <c r="A81" s="97">
        <v>174</v>
      </c>
      <c r="B81" s="98" t="s">
        <v>697</v>
      </c>
      <c r="C81" s="98">
        <v>2009</v>
      </c>
      <c r="D81" s="108" t="s">
        <v>698</v>
      </c>
      <c r="E81" s="99" t="s">
        <v>20</v>
      </c>
      <c r="F81" s="100" t="s">
        <v>701</v>
      </c>
      <c r="G81" s="98" t="s">
        <v>705</v>
      </c>
      <c r="H81" s="98" t="s">
        <v>159</v>
      </c>
      <c r="I81" s="98"/>
      <c r="J81" s="101" t="s">
        <v>1013</v>
      </c>
      <c r="K81" s="98" t="s">
        <v>1096</v>
      </c>
      <c r="L81" s="98" t="s">
        <v>715</v>
      </c>
      <c r="M81" s="109"/>
      <c r="N81" s="109"/>
      <c r="O81" s="98" t="s">
        <v>715</v>
      </c>
      <c r="P81" s="103"/>
      <c r="Q81" s="103"/>
      <c r="R81" s="98"/>
      <c r="S81" s="98"/>
      <c r="T81" s="98"/>
      <c r="U81" s="104">
        <v>0.92</v>
      </c>
      <c r="V81" s="104"/>
      <c r="W81" s="104"/>
      <c r="X81" s="101">
        <f t="shared" si="4"/>
        <v>0.92</v>
      </c>
      <c r="Y81" s="110">
        <v>3.2</v>
      </c>
      <c r="Z81" s="106" t="str">
        <f t="shared" si="5"/>
        <v>F</v>
      </c>
      <c r="AA81" s="107" t="s">
        <v>1183</v>
      </c>
      <c r="AB81" s="136">
        <f>MAX($X$69:$X$95)</f>
        <v>0.98</v>
      </c>
      <c r="AC81" s="136">
        <f>MAX($X$96:$X$98)</f>
        <v>0.89980392300000001</v>
      </c>
    </row>
    <row r="82" spans="1:29" s="107" customFormat="1">
      <c r="A82" s="97">
        <v>181</v>
      </c>
      <c r="B82" s="98" t="s">
        <v>766</v>
      </c>
      <c r="C82" s="98">
        <v>2009</v>
      </c>
      <c r="D82" s="112" t="s">
        <v>767</v>
      </c>
      <c r="E82" s="113" t="s">
        <v>49</v>
      </c>
      <c r="F82" s="114" t="s">
        <v>806</v>
      </c>
      <c r="G82" s="98" t="s">
        <v>821</v>
      </c>
      <c r="H82" s="115" t="s">
        <v>581</v>
      </c>
      <c r="I82" s="115"/>
      <c r="J82" s="115" t="s">
        <v>1013</v>
      </c>
      <c r="K82" s="115" t="s">
        <v>1096</v>
      </c>
      <c r="L82" s="114" t="s">
        <v>775</v>
      </c>
      <c r="M82" s="114" t="s">
        <v>164</v>
      </c>
      <c r="N82" s="114"/>
      <c r="O82" s="114" t="s">
        <v>823</v>
      </c>
      <c r="P82" s="114"/>
      <c r="Q82" s="114"/>
      <c r="R82" s="98"/>
      <c r="S82" s="98"/>
      <c r="T82" s="98"/>
      <c r="U82" s="129">
        <v>0.91865929800000001</v>
      </c>
      <c r="V82" s="116"/>
      <c r="W82" s="116"/>
      <c r="X82" s="101">
        <f t="shared" si="4"/>
        <v>0.91865929800000001</v>
      </c>
      <c r="Y82" s="117">
        <v>3.5297411639999998</v>
      </c>
      <c r="Z82" s="106" t="str">
        <f t="shared" si="5"/>
        <v>F</v>
      </c>
      <c r="AA82" s="107" t="s">
        <v>1184</v>
      </c>
      <c r="AB82" s="136">
        <f>MIN($X$69:$X$95)</f>
        <v>0.90398989900000004</v>
      </c>
      <c r="AC82" s="136">
        <f>MIN($X$96:$X$98)</f>
        <v>0.88500000000000001</v>
      </c>
    </row>
    <row r="83" spans="1:29" s="107" customFormat="1">
      <c r="A83" s="97">
        <v>181</v>
      </c>
      <c r="B83" s="98" t="s">
        <v>766</v>
      </c>
      <c r="C83" s="98">
        <v>2009</v>
      </c>
      <c r="D83" s="112" t="s">
        <v>767</v>
      </c>
      <c r="E83" s="113" t="s">
        <v>49</v>
      </c>
      <c r="F83" s="114" t="s">
        <v>780</v>
      </c>
      <c r="G83" s="98" t="s">
        <v>786</v>
      </c>
      <c r="H83" s="115" t="s">
        <v>159</v>
      </c>
      <c r="I83" s="115"/>
      <c r="J83" s="115" t="s">
        <v>1013</v>
      </c>
      <c r="K83" s="115" t="s">
        <v>1096</v>
      </c>
      <c r="L83" s="114" t="s">
        <v>782</v>
      </c>
      <c r="M83" s="114" t="s">
        <v>164</v>
      </c>
      <c r="N83" s="114"/>
      <c r="O83" s="114" t="s">
        <v>840</v>
      </c>
      <c r="P83" s="114"/>
      <c r="Q83" s="114"/>
      <c r="R83" s="98"/>
      <c r="S83" s="98"/>
      <c r="T83" s="98"/>
      <c r="U83" s="129">
        <v>0.91831407899999995</v>
      </c>
      <c r="V83" s="116"/>
      <c r="W83" s="116"/>
      <c r="X83" s="101">
        <f t="shared" si="4"/>
        <v>0.91831407899999995</v>
      </c>
      <c r="Y83" s="117">
        <v>4.3846507209999999</v>
      </c>
      <c r="Z83" s="106" t="str">
        <f t="shared" si="5"/>
        <v>F</v>
      </c>
      <c r="AA83" s="107" t="s">
        <v>1190</v>
      </c>
      <c r="AB83" s="136">
        <f>STDEV($X$69:$X$95)</f>
        <v>1.9637564630793958E-2</v>
      </c>
      <c r="AC83" s="136">
        <f>STDEV($X$96:$X$98)</f>
        <v>7.5734300325098636E-3</v>
      </c>
    </row>
    <row r="84" spans="1:29" s="107" customFormat="1">
      <c r="A84" s="97">
        <v>181</v>
      </c>
      <c r="B84" s="98" t="s">
        <v>766</v>
      </c>
      <c r="C84" s="98">
        <v>2009</v>
      </c>
      <c r="D84" s="112" t="s">
        <v>767</v>
      </c>
      <c r="E84" s="113" t="s">
        <v>49</v>
      </c>
      <c r="F84" s="114" t="s">
        <v>806</v>
      </c>
      <c r="G84" s="98" t="s">
        <v>777</v>
      </c>
      <c r="H84" s="115" t="s">
        <v>581</v>
      </c>
      <c r="I84" s="115"/>
      <c r="J84" s="115" t="s">
        <v>1013</v>
      </c>
      <c r="K84" s="115" t="s">
        <v>1096</v>
      </c>
      <c r="L84" s="114" t="s">
        <v>775</v>
      </c>
      <c r="M84" s="114" t="s">
        <v>164</v>
      </c>
      <c r="N84" s="114"/>
      <c r="O84" s="114" t="s">
        <v>828</v>
      </c>
      <c r="P84" s="114"/>
      <c r="Q84" s="114"/>
      <c r="R84" s="98"/>
      <c r="S84" s="98"/>
      <c r="T84" s="98"/>
      <c r="U84" s="129">
        <v>0.91809654699999999</v>
      </c>
      <c r="V84" s="116"/>
      <c r="W84" s="116"/>
      <c r="X84" s="101">
        <f t="shared" si="4"/>
        <v>0.91809654699999999</v>
      </c>
      <c r="Y84" s="117">
        <v>3.5255023080000001</v>
      </c>
      <c r="Z84" s="106" t="str">
        <f t="shared" si="5"/>
        <v>F</v>
      </c>
      <c r="AA84" s="107" t="s">
        <v>1186</v>
      </c>
      <c r="AB84" s="136">
        <f>COUNT($X$69:$X$95)</f>
        <v>27</v>
      </c>
      <c r="AC84" s="136">
        <f>COUNT($X$96:$X$98)</f>
        <v>3</v>
      </c>
    </row>
    <row r="85" spans="1:29" s="107" customFormat="1">
      <c r="A85" s="97">
        <v>181</v>
      </c>
      <c r="B85" s="98" t="s">
        <v>766</v>
      </c>
      <c r="C85" s="98">
        <v>2009</v>
      </c>
      <c r="D85" s="112" t="s">
        <v>767</v>
      </c>
      <c r="E85" s="112" t="s">
        <v>49</v>
      </c>
      <c r="F85" s="119"/>
      <c r="G85" s="98" t="s">
        <v>777</v>
      </c>
      <c r="H85" s="108" t="s">
        <v>581</v>
      </c>
      <c r="I85" s="108"/>
      <c r="J85" s="115" t="s">
        <v>1013</v>
      </c>
      <c r="K85" s="115" t="s">
        <v>1096</v>
      </c>
      <c r="L85" s="119" t="s">
        <v>775</v>
      </c>
      <c r="M85" s="119" t="s">
        <v>164</v>
      </c>
      <c r="N85" s="119"/>
      <c r="O85" s="119" t="s">
        <v>779</v>
      </c>
      <c r="P85" s="119"/>
      <c r="Q85" s="119"/>
      <c r="R85" s="98"/>
      <c r="S85" s="98"/>
      <c r="T85" s="98"/>
      <c r="U85" s="130">
        <v>0.91637743400000005</v>
      </c>
      <c r="V85" s="120"/>
      <c r="W85" s="120"/>
      <c r="X85" s="101">
        <f t="shared" si="4"/>
        <v>0.91637743400000005</v>
      </c>
      <c r="Y85" s="121">
        <v>3.2215984670000002</v>
      </c>
      <c r="Z85" s="106" t="str">
        <f t="shared" si="5"/>
        <v>F</v>
      </c>
    </row>
    <row r="86" spans="1:29" s="107" customFormat="1">
      <c r="A86" s="97">
        <v>181</v>
      </c>
      <c r="B86" s="98" t="s">
        <v>766</v>
      </c>
      <c r="C86" s="98">
        <v>2009</v>
      </c>
      <c r="D86" s="112" t="s">
        <v>767</v>
      </c>
      <c r="E86" s="113" t="s">
        <v>49</v>
      </c>
      <c r="F86" s="114"/>
      <c r="G86" s="98" t="s">
        <v>777</v>
      </c>
      <c r="H86" s="115" t="s">
        <v>581</v>
      </c>
      <c r="I86" s="115"/>
      <c r="J86" s="115" t="s">
        <v>1013</v>
      </c>
      <c r="K86" s="115" t="s">
        <v>1096</v>
      </c>
      <c r="L86" s="114" t="s">
        <v>775</v>
      </c>
      <c r="M86" s="114" t="s">
        <v>164</v>
      </c>
      <c r="N86" s="114"/>
      <c r="O86" s="114" t="s">
        <v>779</v>
      </c>
      <c r="P86" s="114"/>
      <c r="Q86" s="114"/>
      <c r="R86" s="98"/>
      <c r="S86" s="98"/>
      <c r="T86" s="98"/>
      <c r="U86" s="129">
        <v>0.91637743400000005</v>
      </c>
      <c r="V86" s="116"/>
      <c r="W86" s="116"/>
      <c r="X86" s="101">
        <f t="shared" si="4"/>
        <v>0.91637743400000005</v>
      </c>
      <c r="Y86" s="117">
        <v>3.2215984670000002</v>
      </c>
      <c r="Z86" s="106" t="str">
        <f t="shared" si="5"/>
        <v>F</v>
      </c>
    </row>
    <row r="87" spans="1:29" s="107" customFormat="1">
      <c r="A87" s="97">
        <v>181</v>
      </c>
      <c r="B87" s="98" t="s">
        <v>766</v>
      </c>
      <c r="C87" s="98">
        <v>2009</v>
      </c>
      <c r="D87" s="112" t="s">
        <v>767</v>
      </c>
      <c r="E87" s="113" t="s">
        <v>49</v>
      </c>
      <c r="F87" s="114" t="s">
        <v>780</v>
      </c>
      <c r="G87" s="98" t="s">
        <v>781</v>
      </c>
      <c r="H87" s="115" t="s">
        <v>95</v>
      </c>
      <c r="I87" s="115"/>
      <c r="J87" s="108" t="s">
        <v>1013</v>
      </c>
      <c r="K87" s="108" t="s">
        <v>1096</v>
      </c>
      <c r="L87" s="114" t="s">
        <v>782</v>
      </c>
      <c r="M87" s="114" t="s">
        <v>783</v>
      </c>
      <c r="N87" s="114" t="s">
        <v>784</v>
      </c>
      <c r="O87" s="114" t="s">
        <v>803</v>
      </c>
      <c r="P87" s="114"/>
      <c r="Q87" s="114"/>
      <c r="R87" s="98"/>
      <c r="S87" s="98"/>
      <c r="T87" s="98"/>
      <c r="U87" s="129">
        <v>0.91620070099999995</v>
      </c>
      <c r="V87" s="116"/>
      <c r="W87" s="116"/>
      <c r="X87" s="101">
        <f t="shared" si="4"/>
        <v>0.91620070099999995</v>
      </c>
      <c r="Y87" s="117">
        <v>4.01</v>
      </c>
      <c r="Z87" s="106" t="str">
        <f t="shared" si="5"/>
        <v>F</v>
      </c>
    </row>
    <row r="88" spans="1:29" s="107" customFormat="1">
      <c r="A88" s="97">
        <v>174</v>
      </c>
      <c r="B88" s="98" t="s">
        <v>697</v>
      </c>
      <c r="C88" s="98">
        <v>2009</v>
      </c>
      <c r="D88" s="108" t="s">
        <v>698</v>
      </c>
      <c r="E88" s="99" t="s">
        <v>20</v>
      </c>
      <c r="F88" s="100" t="s">
        <v>701</v>
      </c>
      <c r="G88" s="98" t="s">
        <v>705</v>
      </c>
      <c r="H88" s="98" t="s">
        <v>159</v>
      </c>
      <c r="I88" s="98"/>
      <c r="J88" s="101" t="s">
        <v>1013</v>
      </c>
      <c r="K88" s="98" t="s">
        <v>1091</v>
      </c>
      <c r="L88" s="98" t="s">
        <v>712</v>
      </c>
      <c r="M88" s="109"/>
      <c r="N88" s="109"/>
      <c r="O88" s="98" t="s">
        <v>713</v>
      </c>
      <c r="P88" s="103"/>
      <c r="Q88" s="103"/>
      <c r="R88" s="98"/>
      <c r="S88" s="98"/>
      <c r="T88" s="98"/>
      <c r="U88" s="104">
        <v>0.91500000000000004</v>
      </c>
      <c r="V88" s="104"/>
      <c r="W88" s="104"/>
      <c r="X88" s="101">
        <f t="shared" si="4"/>
        <v>0.91500000000000004</v>
      </c>
      <c r="Y88" s="110">
        <v>3.7</v>
      </c>
      <c r="Z88" s="106" t="str">
        <f t="shared" si="5"/>
        <v>F</v>
      </c>
    </row>
    <row r="89" spans="1:29" s="107" customFormat="1">
      <c r="A89" s="97">
        <v>181</v>
      </c>
      <c r="B89" s="98" t="s">
        <v>766</v>
      </c>
      <c r="C89" s="98">
        <v>2009</v>
      </c>
      <c r="D89" s="112" t="s">
        <v>767</v>
      </c>
      <c r="E89" s="113" t="s">
        <v>49</v>
      </c>
      <c r="F89" s="114" t="s">
        <v>829</v>
      </c>
      <c r="G89" s="98" t="s">
        <v>786</v>
      </c>
      <c r="H89" s="115" t="s">
        <v>159</v>
      </c>
      <c r="I89" s="115"/>
      <c r="J89" s="115" t="s">
        <v>1013</v>
      </c>
      <c r="K89" s="115" t="s">
        <v>1096</v>
      </c>
      <c r="L89" s="114" t="s">
        <v>782</v>
      </c>
      <c r="M89" s="114" t="s">
        <v>164</v>
      </c>
      <c r="N89" s="114"/>
      <c r="O89" s="114" t="s">
        <v>830</v>
      </c>
      <c r="P89" s="114"/>
      <c r="Q89" s="114"/>
      <c r="R89" s="98"/>
      <c r="S89" s="98"/>
      <c r="T89" s="98"/>
      <c r="U89" s="129">
        <v>0.91426053399999996</v>
      </c>
      <c r="V89" s="116"/>
      <c r="W89" s="116"/>
      <c r="X89" s="101">
        <f t="shared" si="4"/>
        <v>0.91426053399999996</v>
      </c>
      <c r="Y89" s="117">
        <v>4.0168301120000001</v>
      </c>
      <c r="Z89" s="106" t="str">
        <f t="shared" si="5"/>
        <v>F</v>
      </c>
    </row>
    <row r="90" spans="1:29" s="107" customFormat="1">
      <c r="A90" s="97">
        <v>173</v>
      </c>
      <c r="B90" s="98" t="s">
        <v>585</v>
      </c>
      <c r="C90" s="98">
        <v>2011</v>
      </c>
      <c r="D90" s="108" t="s">
        <v>636</v>
      </c>
      <c r="E90" s="99" t="s">
        <v>638</v>
      </c>
      <c r="F90" s="100" t="s">
        <v>656</v>
      </c>
      <c r="G90" s="98" t="s">
        <v>657</v>
      </c>
      <c r="H90" s="98" t="s">
        <v>146</v>
      </c>
      <c r="I90" s="98"/>
      <c r="J90" s="101" t="s">
        <v>1013</v>
      </c>
      <c r="K90" s="98" t="s">
        <v>1082</v>
      </c>
      <c r="L90" s="98" t="s">
        <v>658</v>
      </c>
      <c r="M90" s="109"/>
      <c r="N90" s="109"/>
      <c r="O90" s="98" t="s">
        <v>659</v>
      </c>
      <c r="P90" s="103"/>
      <c r="Q90" s="103"/>
      <c r="R90" s="98"/>
      <c r="S90" s="98"/>
      <c r="T90" s="98"/>
      <c r="U90" s="104">
        <v>0.91300000000000003</v>
      </c>
      <c r="V90" s="104"/>
      <c r="W90" s="104"/>
      <c r="X90" s="101">
        <f t="shared" si="4"/>
        <v>0.91300000000000003</v>
      </c>
      <c r="Y90" s="122">
        <v>5.51</v>
      </c>
      <c r="Z90" s="106" t="str">
        <f t="shared" si="5"/>
        <v>F</v>
      </c>
    </row>
    <row r="91" spans="1:29" s="107" customFormat="1">
      <c r="A91" s="97">
        <v>181</v>
      </c>
      <c r="B91" s="98" t="s">
        <v>766</v>
      </c>
      <c r="C91" s="98">
        <v>2009</v>
      </c>
      <c r="D91" s="112" t="s">
        <v>767</v>
      </c>
      <c r="E91" s="113" t="s">
        <v>49</v>
      </c>
      <c r="F91" s="114" t="s">
        <v>773</v>
      </c>
      <c r="G91" s="98" t="s">
        <v>777</v>
      </c>
      <c r="H91" s="115" t="s">
        <v>581</v>
      </c>
      <c r="I91" s="115"/>
      <c r="J91" s="115" t="s">
        <v>1013</v>
      </c>
      <c r="K91" s="115" t="s">
        <v>1096</v>
      </c>
      <c r="L91" s="114" t="s">
        <v>775</v>
      </c>
      <c r="M91" s="114" t="s">
        <v>164</v>
      </c>
      <c r="N91" s="114"/>
      <c r="O91" s="114" t="s">
        <v>778</v>
      </c>
      <c r="P91" s="114"/>
      <c r="Q91" s="114"/>
      <c r="R91" s="98"/>
      <c r="S91" s="98"/>
      <c r="T91" s="98"/>
      <c r="U91" s="129">
        <v>0.91048192400000005</v>
      </c>
      <c r="V91" s="116"/>
      <c r="W91" s="116"/>
      <c r="X91" s="101">
        <f t="shared" si="4"/>
        <v>0.91048192400000005</v>
      </c>
      <c r="Y91" s="117">
        <v>4.3662318300000003</v>
      </c>
      <c r="Z91" s="106" t="str">
        <f t="shared" si="5"/>
        <v>F</v>
      </c>
    </row>
    <row r="92" spans="1:29" s="107" customFormat="1">
      <c r="A92" s="97">
        <v>181</v>
      </c>
      <c r="B92" s="98" t="s">
        <v>766</v>
      </c>
      <c r="C92" s="98">
        <v>2009</v>
      </c>
      <c r="D92" s="112" t="s">
        <v>767</v>
      </c>
      <c r="E92" s="112" t="s">
        <v>49</v>
      </c>
      <c r="F92" s="119" t="s">
        <v>780</v>
      </c>
      <c r="G92" s="98" t="s">
        <v>786</v>
      </c>
      <c r="H92" s="108" t="s">
        <v>159</v>
      </c>
      <c r="I92" s="108"/>
      <c r="J92" s="115" t="s">
        <v>1013</v>
      </c>
      <c r="K92" s="115" t="s">
        <v>1096</v>
      </c>
      <c r="L92" s="119" t="s">
        <v>782</v>
      </c>
      <c r="M92" s="119" t="s">
        <v>164</v>
      </c>
      <c r="N92" s="119"/>
      <c r="O92" s="119" t="s">
        <v>787</v>
      </c>
      <c r="P92" s="119"/>
      <c r="Q92" s="119"/>
      <c r="R92" s="98"/>
      <c r="S92" s="98"/>
      <c r="T92" s="98"/>
      <c r="U92" s="130">
        <v>0.90993638700000001</v>
      </c>
      <c r="V92" s="120"/>
      <c r="W92" s="120"/>
      <c r="X92" s="101">
        <f t="shared" si="4"/>
        <v>0.90993638700000001</v>
      </c>
      <c r="Y92" s="121">
        <v>4.4355759929999996</v>
      </c>
      <c r="Z92" s="106" t="str">
        <f t="shared" si="5"/>
        <v>F</v>
      </c>
    </row>
    <row r="93" spans="1:29" s="107" customFormat="1">
      <c r="A93" s="97">
        <v>174</v>
      </c>
      <c r="B93" s="98" t="s">
        <v>697</v>
      </c>
      <c r="C93" s="98">
        <v>2009</v>
      </c>
      <c r="D93" s="108" t="s">
        <v>698</v>
      </c>
      <c r="E93" s="99" t="s">
        <v>20</v>
      </c>
      <c r="F93" s="100" t="s">
        <v>701</v>
      </c>
      <c r="G93" s="98" t="s">
        <v>705</v>
      </c>
      <c r="H93" s="98" t="s">
        <v>159</v>
      </c>
      <c r="I93" s="98"/>
      <c r="J93" s="101" t="s">
        <v>1013</v>
      </c>
      <c r="K93" s="98" t="s">
        <v>1087</v>
      </c>
      <c r="L93" s="98" t="s">
        <v>464</v>
      </c>
      <c r="M93" s="109"/>
      <c r="N93" s="109"/>
      <c r="O93" s="98" t="s">
        <v>464</v>
      </c>
      <c r="P93" s="103"/>
      <c r="Q93" s="103"/>
      <c r="R93" s="98"/>
      <c r="S93" s="98"/>
      <c r="T93" s="98"/>
      <c r="U93" s="104">
        <v>0.90600000000000003</v>
      </c>
      <c r="V93" s="104"/>
      <c r="W93" s="104"/>
      <c r="X93" s="101">
        <f t="shared" si="4"/>
        <v>0.90600000000000003</v>
      </c>
      <c r="Y93" s="110">
        <v>4.0999999999999996</v>
      </c>
      <c r="Z93" s="106" t="str">
        <f t="shared" si="5"/>
        <v>F</v>
      </c>
    </row>
    <row r="94" spans="1:29" s="107" customFormat="1">
      <c r="A94" s="97">
        <v>181</v>
      </c>
      <c r="B94" s="98" t="s">
        <v>766</v>
      </c>
      <c r="C94" s="98">
        <v>2009</v>
      </c>
      <c r="D94" s="112" t="s">
        <v>767</v>
      </c>
      <c r="E94" s="112" t="s">
        <v>49</v>
      </c>
      <c r="F94" s="119" t="s">
        <v>780</v>
      </c>
      <c r="G94" s="98" t="s">
        <v>781</v>
      </c>
      <c r="H94" s="108" t="s">
        <v>95</v>
      </c>
      <c r="I94" s="108"/>
      <c r="J94" s="108" t="s">
        <v>1013</v>
      </c>
      <c r="K94" s="108" t="s">
        <v>1096</v>
      </c>
      <c r="L94" s="119" t="s">
        <v>782</v>
      </c>
      <c r="M94" s="119" t="s">
        <v>783</v>
      </c>
      <c r="N94" s="119" t="s">
        <v>784</v>
      </c>
      <c r="O94" s="119" t="s">
        <v>785</v>
      </c>
      <c r="P94" s="119"/>
      <c r="Q94" s="119"/>
      <c r="R94" s="98"/>
      <c r="S94" s="98"/>
      <c r="T94" s="98"/>
      <c r="U94" s="130">
        <v>0.90572357999999997</v>
      </c>
      <c r="V94" s="120"/>
      <c r="W94" s="120"/>
      <c r="X94" s="101">
        <f t="shared" si="4"/>
        <v>0.90572357999999997</v>
      </c>
      <c r="Y94" s="121">
        <v>3.8483435080000001</v>
      </c>
      <c r="Z94" s="106" t="str">
        <f t="shared" si="5"/>
        <v>F</v>
      </c>
    </row>
    <row r="95" spans="1:29" s="107" customFormat="1">
      <c r="A95" s="97">
        <v>181</v>
      </c>
      <c r="B95" s="98" t="s">
        <v>766</v>
      </c>
      <c r="C95" s="98">
        <v>2009</v>
      </c>
      <c r="D95" s="112" t="s">
        <v>767</v>
      </c>
      <c r="E95" s="113" t="s">
        <v>49</v>
      </c>
      <c r="F95" s="114" t="s">
        <v>780</v>
      </c>
      <c r="G95" s="98" t="s">
        <v>786</v>
      </c>
      <c r="H95" s="115" t="s">
        <v>159</v>
      </c>
      <c r="I95" s="115"/>
      <c r="J95" s="115" t="s">
        <v>1013</v>
      </c>
      <c r="K95" s="115" t="s">
        <v>1096</v>
      </c>
      <c r="L95" s="114" t="s">
        <v>782</v>
      </c>
      <c r="M95" s="114" t="s">
        <v>164</v>
      </c>
      <c r="N95" s="114"/>
      <c r="O95" s="114" t="s">
        <v>813</v>
      </c>
      <c r="P95" s="114"/>
      <c r="Q95" s="114"/>
      <c r="R95" s="98"/>
      <c r="S95" s="98"/>
      <c r="T95" s="98"/>
      <c r="U95" s="129">
        <v>0.90398989900000004</v>
      </c>
      <c r="V95" s="116"/>
      <c r="W95" s="116"/>
      <c r="X95" s="101">
        <f t="shared" si="4"/>
        <v>0.90398989900000004</v>
      </c>
      <c r="Y95" s="117">
        <v>3.259641191</v>
      </c>
      <c r="Z95" s="106" t="str">
        <f t="shared" si="5"/>
        <v>F</v>
      </c>
    </row>
    <row r="96" spans="1:29" s="107" customFormat="1">
      <c r="A96" s="97">
        <v>181</v>
      </c>
      <c r="B96" s="98" t="s">
        <v>766</v>
      </c>
      <c r="C96" s="98">
        <v>2009</v>
      </c>
      <c r="D96" s="112" t="s">
        <v>767</v>
      </c>
      <c r="E96" s="113" t="s">
        <v>49</v>
      </c>
      <c r="F96" s="114" t="s">
        <v>780</v>
      </c>
      <c r="G96" s="98" t="s">
        <v>781</v>
      </c>
      <c r="H96" s="115" t="s">
        <v>95</v>
      </c>
      <c r="I96" s="115"/>
      <c r="J96" s="108" t="s">
        <v>1013</v>
      </c>
      <c r="K96" s="108" t="s">
        <v>1096</v>
      </c>
      <c r="L96" s="114" t="s">
        <v>782</v>
      </c>
      <c r="M96" s="114" t="s">
        <v>783</v>
      </c>
      <c r="N96" s="114" t="s">
        <v>784</v>
      </c>
      <c r="O96" s="114" t="s">
        <v>816</v>
      </c>
      <c r="P96" s="114"/>
      <c r="Q96" s="114"/>
      <c r="R96" s="98"/>
      <c r="S96" s="98"/>
      <c r="T96" s="98"/>
      <c r="U96" s="129">
        <v>0.89980392300000001</v>
      </c>
      <c r="V96" s="116"/>
      <c r="W96" s="116"/>
      <c r="X96" s="101">
        <f t="shared" si="4"/>
        <v>0.89980392300000001</v>
      </c>
      <c r="Y96" s="117">
        <v>5.23</v>
      </c>
      <c r="Z96" s="106" t="str">
        <f t="shared" si="5"/>
        <v>S</v>
      </c>
    </row>
    <row r="97" spans="1:26" s="107" customFormat="1">
      <c r="A97" s="97">
        <v>181</v>
      </c>
      <c r="B97" s="98" t="s">
        <v>766</v>
      </c>
      <c r="C97" s="98">
        <v>2009</v>
      </c>
      <c r="D97" s="112" t="s">
        <v>767</v>
      </c>
      <c r="E97" s="113" t="s">
        <v>49</v>
      </c>
      <c r="F97" s="114" t="s">
        <v>773</v>
      </c>
      <c r="G97" s="98" t="s">
        <v>774</v>
      </c>
      <c r="H97" s="115" t="s">
        <v>581</v>
      </c>
      <c r="I97" s="115"/>
      <c r="J97" s="115" t="s">
        <v>1013</v>
      </c>
      <c r="K97" s="115" t="s">
        <v>1096</v>
      </c>
      <c r="L97" s="114" t="s">
        <v>775</v>
      </c>
      <c r="M97" s="114" t="s">
        <v>164</v>
      </c>
      <c r="N97" s="114"/>
      <c r="O97" s="114" t="s">
        <v>776</v>
      </c>
      <c r="P97" s="114"/>
      <c r="Q97" s="114"/>
      <c r="R97" s="98"/>
      <c r="S97" s="98"/>
      <c r="T97" s="98"/>
      <c r="U97" s="129">
        <v>0.88962645699999998</v>
      </c>
      <c r="V97" s="116"/>
      <c r="W97" s="116"/>
      <c r="X97" s="101">
        <f t="shared" si="4"/>
        <v>0.88962645699999998</v>
      </c>
      <c r="Y97" s="117">
        <v>4.8628114289999997</v>
      </c>
      <c r="Z97" s="106" t="str">
        <f t="shared" si="5"/>
        <v>S</v>
      </c>
    </row>
    <row r="98" spans="1:26" s="107" customFormat="1">
      <c r="A98" s="97">
        <v>173</v>
      </c>
      <c r="B98" s="98" t="s">
        <v>585</v>
      </c>
      <c r="C98" s="98">
        <v>2011</v>
      </c>
      <c r="D98" s="108" t="s">
        <v>636</v>
      </c>
      <c r="E98" s="99" t="s">
        <v>638</v>
      </c>
      <c r="F98" s="100" t="s">
        <v>656</v>
      </c>
      <c r="G98" s="98" t="s">
        <v>657</v>
      </c>
      <c r="H98" s="98" t="s">
        <v>146</v>
      </c>
      <c r="I98" s="98"/>
      <c r="J98" s="101" t="s">
        <v>1013</v>
      </c>
      <c r="K98" s="98" t="s">
        <v>1082</v>
      </c>
      <c r="L98" s="98" t="s">
        <v>660</v>
      </c>
      <c r="M98" s="109"/>
      <c r="N98" s="109"/>
      <c r="O98" s="98" t="s">
        <v>661</v>
      </c>
      <c r="P98" s="103"/>
      <c r="Q98" s="103"/>
      <c r="R98" s="98"/>
      <c r="S98" s="98"/>
      <c r="T98" s="98"/>
      <c r="U98" s="104">
        <v>0.88500000000000001</v>
      </c>
      <c r="V98" s="104"/>
      <c r="W98" s="104"/>
      <c r="X98" s="101">
        <f t="shared" si="4"/>
        <v>0.88500000000000001</v>
      </c>
      <c r="Y98" s="122">
        <v>7.94</v>
      </c>
      <c r="Z98" s="106" t="str">
        <f t="shared" si="5"/>
        <v>S</v>
      </c>
    </row>
    <row r="99" spans="1:26" s="107" customFormat="1">
      <c r="A99" s="97">
        <v>121</v>
      </c>
      <c r="B99" s="103" t="s">
        <v>427</v>
      </c>
      <c r="C99" s="103">
        <v>2003</v>
      </c>
      <c r="D99" s="103" t="s">
        <v>428</v>
      </c>
      <c r="E99" s="99" t="s">
        <v>430</v>
      </c>
      <c r="F99" s="98">
        <v>2002</v>
      </c>
      <c r="G99" s="98" t="s">
        <v>461</v>
      </c>
      <c r="H99" s="98" t="s">
        <v>159</v>
      </c>
      <c r="I99" s="98"/>
      <c r="J99" s="98" t="s">
        <v>1013</v>
      </c>
      <c r="K99" s="98" t="s">
        <v>1138</v>
      </c>
      <c r="L99" s="98" t="s">
        <v>462</v>
      </c>
      <c r="M99" s="98" t="s">
        <v>463</v>
      </c>
      <c r="N99" s="98" t="s">
        <v>464</v>
      </c>
      <c r="O99" s="98" t="s">
        <v>469</v>
      </c>
      <c r="P99" s="98"/>
      <c r="Q99" s="98"/>
      <c r="R99" s="98"/>
      <c r="S99" s="98"/>
      <c r="T99" s="98"/>
      <c r="U99" s="98"/>
      <c r="V99" s="98"/>
      <c r="W99" s="98"/>
      <c r="X99" s="101" t="str">
        <f t="shared" si="4"/>
        <v/>
      </c>
      <c r="Y99" s="111">
        <v>6.2</v>
      </c>
      <c r="Z99" s="106" t="str">
        <f t="shared" si="5"/>
        <v/>
      </c>
    </row>
    <row r="100" spans="1:26" s="107" customFormat="1">
      <c r="A100" s="97">
        <v>121</v>
      </c>
      <c r="B100" s="103" t="s">
        <v>427</v>
      </c>
      <c r="C100" s="103">
        <v>2003</v>
      </c>
      <c r="D100" s="103" t="s">
        <v>428</v>
      </c>
      <c r="E100" s="99" t="s">
        <v>430</v>
      </c>
      <c r="F100" s="98">
        <v>2002</v>
      </c>
      <c r="G100" s="98" t="s">
        <v>461</v>
      </c>
      <c r="H100" s="98" t="s">
        <v>159</v>
      </c>
      <c r="I100" s="98"/>
      <c r="J100" s="98" t="s">
        <v>1013</v>
      </c>
      <c r="K100" s="98" t="s">
        <v>1138</v>
      </c>
      <c r="L100" s="98" t="s">
        <v>462</v>
      </c>
      <c r="M100" s="98" t="s">
        <v>463</v>
      </c>
      <c r="N100" s="98" t="s">
        <v>464</v>
      </c>
      <c r="O100" s="98" t="s">
        <v>465</v>
      </c>
      <c r="P100" s="98"/>
      <c r="Q100" s="98"/>
      <c r="R100" s="98"/>
      <c r="S100" s="98"/>
      <c r="T100" s="98"/>
      <c r="U100" s="98"/>
      <c r="V100" s="98"/>
      <c r="W100" s="98"/>
      <c r="X100" s="101" t="str">
        <f t="shared" si="4"/>
        <v/>
      </c>
      <c r="Y100" s="111">
        <v>2.4</v>
      </c>
      <c r="Z100" s="106" t="str">
        <f t="shared" si="5"/>
        <v/>
      </c>
    </row>
    <row r="101" spans="1:26" s="107" customFormat="1">
      <c r="A101" s="97">
        <v>103</v>
      </c>
      <c r="B101" s="103" t="s">
        <v>311</v>
      </c>
      <c r="C101" s="103">
        <v>1994</v>
      </c>
      <c r="D101" s="103" t="s">
        <v>312</v>
      </c>
      <c r="E101" s="99" t="s">
        <v>20</v>
      </c>
      <c r="F101" s="98">
        <v>1995</v>
      </c>
      <c r="G101" s="98"/>
      <c r="H101" s="98"/>
      <c r="I101" s="98"/>
      <c r="J101" s="98" t="s">
        <v>1013</v>
      </c>
      <c r="K101" s="98" t="s">
        <v>1096</v>
      </c>
      <c r="L101" s="98" t="s">
        <v>315</v>
      </c>
      <c r="M101" s="98" t="s">
        <v>316</v>
      </c>
      <c r="N101" s="98"/>
      <c r="O101" s="98" t="s">
        <v>317</v>
      </c>
      <c r="P101" s="98"/>
      <c r="Q101" s="98"/>
      <c r="R101" s="98"/>
      <c r="S101" s="98"/>
      <c r="T101" s="98"/>
      <c r="U101" s="98"/>
      <c r="V101" s="98"/>
      <c r="W101" s="98"/>
      <c r="X101" s="101" t="str">
        <f t="shared" si="4"/>
        <v/>
      </c>
      <c r="Y101" s="111">
        <v>3</v>
      </c>
      <c r="Z101" s="106" t="str">
        <f t="shared" si="5"/>
        <v/>
      </c>
    </row>
  </sheetData>
  <sortState ref="A101:Z163">
    <sortCondition descending="1" ref="X101:X163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workbookViewId="0"/>
  </sheetViews>
  <sheetFormatPr baseColWidth="10" defaultRowHeight="15" x14ac:dyDescent="0"/>
  <sheetData>
    <row r="1" spans="1:38">
      <c r="A1" s="1" t="s">
        <v>0</v>
      </c>
      <c r="B1" s="1" t="s">
        <v>1</v>
      </c>
      <c r="C1" s="2" t="s">
        <v>2</v>
      </c>
      <c r="D1" s="2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1156</v>
      </c>
      <c r="W1" s="36" t="s">
        <v>1155</v>
      </c>
      <c r="X1" s="36" t="s">
        <v>1174</v>
      </c>
      <c r="Y1" s="36" t="s">
        <v>1154</v>
      </c>
      <c r="Z1" s="36" t="s">
        <v>1176</v>
      </c>
    </row>
    <row r="2" spans="1:38" s="45" customFormat="1">
      <c r="A2" s="53">
        <v>46</v>
      </c>
      <c r="B2" s="60" t="s">
        <v>45</v>
      </c>
      <c r="C2" s="60">
        <v>1984</v>
      </c>
      <c r="D2" s="60" t="s">
        <v>113</v>
      </c>
      <c r="E2" s="56" t="s">
        <v>49</v>
      </c>
      <c r="F2" s="54">
        <v>1983</v>
      </c>
      <c r="G2" s="54" t="s">
        <v>116</v>
      </c>
      <c r="H2" s="54" t="s">
        <v>95</v>
      </c>
      <c r="I2" s="54"/>
      <c r="J2" s="54" t="s">
        <v>1013</v>
      </c>
      <c r="K2" s="54" t="s">
        <v>1134</v>
      </c>
      <c r="L2" s="54" t="s">
        <v>117</v>
      </c>
      <c r="M2" s="54"/>
      <c r="N2" s="54"/>
      <c r="O2" s="54" t="s">
        <v>123</v>
      </c>
      <c r="P2" s="54">
        <v>0.89</v>
      </c>
      <c r="Q2" s="54"/>
      <c r="R2" s="54">
        <f>+P2</f>
        <v>0.89</v>
      </c>
      <c r="S2" s="54"/>
      <c r="T2" s="54"/>
      <c r="U2" s="54"/>
      <c r="V2" s="54"/>
      <c r="W2" s="54"/>
      <c r="X2" s="66">
        <f t="shared" ref="X2:X33" si="0">IF(R2&lt;&gt;0,IF(R2&gt;1,R2/100,R2),IF(U2&lt;&gt;0,IF(U2&gt;1,U2/100,U2),""))</f>
        <v>0.89</v>
      </c>
      <c r="Y2" s="54">
        <v>112</v>
      </c>
      <c r="Z2" s="192" t="str">
        <f t="shared" ref="Z2:Z33" si="1">IF(X2&lt;&gt;"",IF(X2&lt;0.9,"S","F"),"")</f>
        <v>S</v>
      </c>
      <c r="AA2" s="66"/>
      <c r="AB2" s="66"/>
      <c r="AC2" s="66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38" s="45" customFormat="1">
      <c r="A3" s="53">
        <v>46</v>
      </c>
      <c r="B3" s="60" t="s">
        <v>45</v>
      </c>
      <c r="C3" s="60">
        <v>1984</v>
      </c>
      <c r="D3" s="60" t="s">
        <v>113</v>
      </c>
      <c r="E3" s="56" t="s">
        <v>49</v>
      </c>
      <c r="F3" s="54">
        <v>1983</v>
      </c>
      <c r="G3" s="54" t="s">
        <v>116</v>
      </c>
      <c r="H3" s="54" t="s">
        <v>95</v>
      </c>
      <c r="I3" s="54"/>
      <c r="J3" s="54" t="s">
        <v>1013</v>
      </c>
      <c r="K3" s="54" t="s">
        <v>1134</v>
      </c>
      <c r="L3" s="54" t="s">
        <v>117</v>
      </c>
      <c r="M3" s="54"/>
      <c r="N3" s="54"/>
      <c r="O3" s="54" t="s">
        <v>128</v>
      </c>
      <c r="P3" s="54"/>
      <c r="Q3" s="54">
        <v>0.85</v>
      </c>
      <c r="R3" s="54">
        <f>+Q3</f>
        <v>0.85</v>
      </c>
      <c r="S3" s="54"/>
      <c r="T3" s="54"/>
      <c r="U3" s="54"/>
      <c r="V3" s="54"/>
      <c r="W3" s="54"/>
      <c r="X3" s="66">
        <f t="shared" si="0"/>
        <v>0.85</v>
      </c>
      <c r="Y3" s="54">
        <v>130</v>
      </c>
      <c r="Z3" s="192" t="str">
        <f t="shared" si="1"/>
        <v>S</v>
      </c>
      <c r="AA3" s="66"/>
      <c r="AB3" s="66"/>
      <c r="AC3" s="66"/>
      <c r="AD3" s="172"/>
      <c r="AE3" s="172"/>
      <c r="AF3" s="172"/>
      <c r="AG3" s="172"/>
      <c r="AH3" s="172"/>
      <c r="AI3" s="172"/>
      <c r="AJ3" s="172"/>
      <c r="AK3" s="172"/>
      <c r="AL3" s="172"/>
    </row>
    <row r="4" spans="1:38" s="48" customFormat="1">
      <c r="A4" s="53">
        <v>46</v>
      </c>
      <c r="B4" s="60" t="s">
        <v>45</v>
      </c>
      <c r="C4" s="60">
        <v>1984</v>
      </c>
      <c r="D4" s="60" t="s">
        <v>113</v>
      </c>
      <c r="E4" s="56" t="s">
        <v>49</v>
      </c>
      <c r="F4" s="54">
        <v>1983</v>
      </c>
      <c r="G4" s="54" t="s">
        <v>116</v>
      </c>
      <c r="H4" s="54" t="s">
        <v>95</v>
      </c>
      <c r="I4" s="54"/>
      <c r="J4" s="54" t="s">
        <v>1013</v>
      </c>
      <c r="K4" s="54" t="s">
        <v>1134</v>
      </c>
      <c r="L4" s="54" t="s">
        <v>117</v>
      </c>
      <c r="M4" s="54"/>
      <c r="N4" s="54"/>
      <c r="O4" s="54" t="s">
        <v>121</v>
      </c>
      <c r="P4" s="54">
        <v>0.88</v>
      </c>
      <c r="Q4" s="54"/>
      <c r="R4" s="54">
        <f>+P4</f>
        <v>0.88</v>
      </c>
      <c r="S4" s="54"/>
      <c r="T4" s="54"/>
      <c r="U4" s="54"/>
      <c r="V4" s="54"/>
      <c r="W4" s="54"/>
      <c r="X4" s="66">
        <f t="shared" si="0"/>
        <v>0.88</v>
      </c>
      <c r="Y4" s="54">
        <v>94</v>
      </c>
      <c r="Z4" s="192" t="str">
        <f t="shared" si="1"/>
        <v>S</v>
      </c>
      <c r="AA4" s="194"/>
      <c r="AB4" s="194"/>
      <c r="AC4" s="19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38" s="45" customFormat="1">
      <c r="A5" s="53">
        <v>46</v>
      </c>
      <c r="B5" s="60" t="s">
        <v>45</v>
      </c>
      <c r="C5" s="60">
        <v>1984</v>
      </c>
      <c r="D5" s="60" t="s">
        <v>113</v>
      </c>
      <c r="E5" s="56" t="s">
        <v>49</v>
      </c>
      <c r="F5" s="54">
        <v>1983</v>
      </c>
      <c r="G5" s="54" t="s">
        <v>116</v>
      </c>
      <c r="H5" s="54" t="s">
        <v>95</v>
      </c>
      <c r="I5" s="54"/>
      <c r="J5" s="54" t="s">
        <v>1013</v>
      </c>
      <c r="K5" s="54" t="s">
        <v>1134</v>
      </c>
      <c r="L5" s="54" t="s">
        <v>117</v>
      </c>
      <c r="M5" s="54"/>
      <c r="N5" s="54"/>
      <c r="O5" s="54" t="s">
        <v>126</v>
      </c>
      <c r="P5" s="54">
        <v>0.89</v>
      </c>
      <c r="Q5" s="54"/>
      <c r="R5" s="54">
        <f>+P5</f>
        <v>0.89</v>
      </c>
      <c r="S5" s="54"/>
      <c r="T5" s="54"/>
      <c r="U5" s="54"/>
      <c r="V5" s="54"/>
      <c r="W5" s="54"/>
      <c r="X5" s="66">
        <f t="shared" si="0"/>
        <v>0.89</v>
      </c>
      <c r="Y5" s="54">
        <v>101</v>
      </c>
      <c r="Z5" s="192" t="str">
        <f t="shared" si="1"/>
        <v>S</v>
      </c>
      <c r="AA5" s="66"/>
      <c r="AB5" s="66"/>
      <c r="AC5" s="66"/>
      <c r="AD5" s="172"/>
      <c r="AE5" s="172"/>
      <c r="AF5" s="172"/>
      <c r="AG5" s="172"/>
      <c r="AH5" s="172"/>
      <c r="AI5" s="172"/>
      <c r="AJ5" s="172"/>
      <c r="AK5" s="172"/>
      <c r="AL5" s="172"/>
    </row>
    <row r="6" spans="1:38" s="48" customFormat="1">
      <c r="A6" s="53">
        <v>101</v>
      </c>
      <c r="B6" s="73" t="s">
        <v>298</v>
      </c>
      <c r="C6" s="54">
        <v>1994</v>
      </c>
      <c r="D6" s="73" t="s">
        <v>299</v>
      </c>
      <c r="E6" s="56" t="s">
        <v>172</v>
      </c>
      <c r="F6" s="54">
        <v>1994</v>
      </c>
      <c r="G6" s="54" t="s">
        <v>301</v>
      </c>
      <c r="H6" s="54" t="s">
        <v>302</v>
      </c>
      <c r="I6" s="54" t="s">
        <v>1014</v>
      </c>
      <c r="J6" s="54" t="s">
        <v>1013</v>
      </c>
      <c r="K6" s="54"/>
      <c r="L6" s="54" t="s">
        <v>303</v>
      </c>
      <c r="M6" s="54"/>
      <c r="N6" s="54"/>
      <c r="O6" s="54" t="s">
        <v>309</v>
      </c>
      <c r="P6" s="54"/>
      <c r="Q6" s="54"/>
      <c r="R6" s="54"/>
      <c r="S6" s="54"/>
      <c r="T6" s="54"/>
      <c r="U6" s="54">
        <v>0.86</v>
      </c>
      <c r="V6" s="54"/>
      <c r="W6" s="54"/>
      <c r="X6" s="66">
        <f t="shared" si="0"/>
        <v>0.86</v>
      </c>
      <c r="Y6" s="54">
        <v>158</v>
      </c>
      <c r="Z6" s="192" t="str">
        <f t="shared" si="1"/>
        <v>S</v>
      </c>
      <c r="AA6" s="194"/>
      <c r="AB6" s="194"/>
      <c r="AC6" s="194"/>
      <c r="AD6" s="204"/>
      <c r="AE6" s="204"/>
      <c r="AF6" s="204"/>
      <c r="AG6" s="204"/>
      <c r="AH6" s="204"/>
      <c r="AI6" s="204"/>
      <c r="AJ6" s="204"/>
      <c r="AK6" s="204"/>
      <c r="AL6" s="204"/>
    </row>
    <row r="7" spans="1:38" s="45" customFormat="1">
      <c r="A7" s="53">
        <v>173</v>
      </c>
      <c r="B7" s="54" t="s">
        <v>585</v>
      </c>
      <c r="C7" s="54">
        <v>2011</v>
      </c>
      <c r="D7" s="78" t="s">
        <v>636</v>
      </c>
      <c r="E7" s="56" t="s">
        <v>638</v>
      </c>
      <c r="F7" s="57" t="s">
        <v>656</v>
      </c>
      <c r="G7" s="54" t="s">
        <v>657</v>
      </c>
      <c r="H7" s="54" t="s">
        <v>146</v>
      </c>
      <c r="I7" s="54"/>
      <c r="J7" s="66" t="s">
        <v>1013</v>
      </c>
      <c r="K7" s="54" t="s">
        <v>1082</v>
      </c>
      <c r="L7" s="54" t="s">
        <v>660</v>
      </c>
      <c r="M7" s="59"/>
      <c r="N7" s="59"/>
      <c r="O7" s="54" t="s">
        <v>661</v>
      </c>
      <c r="P7" s="60"/>
      <c r="Q7" s="60"/>
      <c r="R7" s="54"/>
      <c r="S7" s="54"/>
      <c r="T7" s="54"/>
      <c r="U7" s="61">
        <v>0.88500000000000001</v>
      </c>
      <c r="V7" s="61"/>
      <c r="W7" s="61"/>
      <c r="X7" s="66">
        <f t="shared" si="0"/>
        <v>0.88500000000000001</v>
      </c>
      <c r="Y7" s="167">
        <v>126</v>
      </c>
      <c r="Z7" s="192" t="str">
        <f t="shared" si="1"/>
        <v>S</v>
      </c>
      <c r="AA7" s="66"/>
      <c r="AB7" s="66"/>
      <c r="AC7" s="66"/>
      <c r="AD7" s="172"/>
      <c r="AE7" s="172"/>
      <c r="AF7" s="172"/>
      <c r="AG7" s="172"/>
      <c r="AH7" s="172"/>
      <c r="AI7" s="172"/>
      <c r="AJ7" s="172"/>
      <c r="AK7" s="172"/>
      <c r="AL7" s="172"/>
    </row>
    <row r="8" spans="1:38" s="45" customFormat="1">
      <c r="A8" s="53">
        <v>181</v>
      </c>
      <c r="B8" s="54" t="s">
        <v>766</v>
      </c>
      <c r="C8" s="54">
        <v>2009</v>
      </c>
      <c r="D8" s="90" t="s">
        <v>767</v>
      </c>
      <c r="E8" s="84" t="s">
        <v>49</v>
      </c>
      <c r="F8" s="85" t="s">
        <v>773</v>
      </c>
      <c r="G8" s="54" t="s">
        <v>774</v>
      </c>
      <c r="H8" s="74" t="s">
        <v>581</v>
      </c>
      <c r="I8" s="74"/>
      <c r="J8" s="74" t="s">
        <v>1013</v>
      </c>
      <c r="K8" s="74" t="s">
        <v>1096</v>
      </c>
      <c r="L8" s="85" t="s">
        <v>775</v>
      </c>
      <c r="M8" s="85" t="s">
        <v>164</v>
      </c>
      <c r="N8" s="85"/>
      <c r="O8" s="85" t="s">
        <v>776</v>
      </c>
      <c r="P8" s="85"/>
      <c r="Q8" s="85"/>
      <c r="R8" s="54"/>
      <c r="S8" s="54"/>
      <c r="T8" s="54"/>
      <c r="U8" s="93">
        <v>0.88962645699999998</v>
      </c>
      <c r="V8" s="166"/>
      <c r="W8" s="166"/>
      <c r="X8" s="66">
        <f t="shared" si="0"/>
        <v>0.88962645699999998</v>
      </c>
      <c r="Y8" s="86">
        <v>126.7422756</v>
      </c>
      <c r="Z8" s="192" t="str">
        <f t="shared" si="1"/>
        <v>S</v>
      </c>
      <c r="AA8" s="66"/>
      <c r="AB8" s="66"/>
      <c r="AC8" s="66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s="45" customFormat="1">
      <c r="A9" s="53">
        <v>197</v>
      </c>
      <c r="B9" s="73" t="s">
        <v>875</v>
      </c>
      <c r="C9" s="54">
        <v>2007</v>
      </c>
      <c r="D9" s="73" t="s">
        <v>928</v>
      </c>
      <c r="E9" s="56" t="s">
        <v>20</v>
      </c>
      <c r="F9" s="54">
        <v>2003</v>
      </c>
      <c r="G9" s="54" t="s">
        <v>326</v>
      </c>
      <c r="H9" s="54" t="s">
        <v>159</v>
      </c>
      <c r="I9" s="54"/>
      <c r="J9" s="66" t="s">
        <v>1013</v>
      </c>
      <c r="K9" s="54" t="s">
        <v>1069</v>
      </c>
      <c r="L9" s="54" t="s">
        <v>403</v>
      </c>
      <c r="M9" s="54"/>
      <c r="N9" s="54"/>
      <c r="O9" s="54" t="s">
        <v>931</v>
      </c>
      <c r="P9" s="66"/>
      <c r="Q9" s="54">
        <v>0.87</v>
      </c>
      <c r="R9" s="66">
        <f>+Q9</f>
        <v>0.87</v>
      </c>
      <c r="S9" s="66"/>
      <c r="T9" s="66"/>
      <c r="U9" s="66"/>
      <c r="V9" s="66"/>
      <c r="W9" s="54">
        <v>134.9</v>
      </c>
      <c r="X9" s="66">
        <f t="shared" si="0"/>
        <v>0.87</v>
      </c>
      <c r="Y9" s="66">
        <f>+W9</f>
        <v>134.9</v>
      </c>
      <c r="Z9" s="192" t="str">
        <f t="shared" si="1"/>
        <v>S</v>
      </c>
      <c r="AA9" s="66"/>
      <c r="AB9" s="66"/>
      <c r="AC9" s="66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s="45" customFormat="1">
      <c r="A10" s="53">
        <v>197</v>
      </c>
      <c r="B10" s="73" t="s">
        <v>875</v>
      </c>
      <c r="C10" s="54">
        <v>2007</v>
      </c>
      <c r="D10" s="73" t="s">
        <v>928</v>
      </c>
      <c r="E10" s="56" t="s">
        <v>20</v>
      </c>
      <c r="F10" s="54">
        <v>2003</v>
      </c>
      <c r="G10" s="54" t="s">
        <v>326</v>
      </c>
      <c r="H10" s="54" t="s">
        <v>159</v>
      </c>
      <c r="I10" s="54"/>
      <c r="J10" s="66" t="s">
        <v>1013</v>
      </c>
      <c r="K10" s="54" t="s">
        <v>1111</v>
      </c>
      <c r="L10" s="54" t="s">
        <v>315</v>
      </c>
      <c r="M10" s="54"/>
      <c r="N10" s="54"/>
      <c r="O10" s="54" t="s">
        <v>930</v>
      </c>
      <c r="P10" s="66"/>
      <c r="Q10" s="54">
        <v>0.88</v>
      </c>
      <c r="R10" s="66">
        <f>+Q10</f>
        <v>0.88</v>
      </c>
      <c r="S10" s="66"/>
      <c r="T10" s="66"/>
      <c r="U10" s="66"/>
      <c r="V10" s="66"/>
      <c r="W10" s="54">
        <v>126.7</v>
      </c>
      <c r="X10" s="66">
        <f t="shared" si="0"/>
        <v>0.88</v>
      </c>
      <c r="Y10" s="66">
        <f>+W10</f>
        <v>126.7</v>
      </c>
      <c r="Z10" s="192" t="str">
        <f t="shared" si="1"/>
        <v>S</v>
      </c>
      <c r="AA10" s="66"/>
      <c r="AB10" s="66"/>
      <c r="AC10" s="66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s="45" customFormat="1">
      <c r="A11" s="53">
        <v>203</v>
      </c>
      <c r="B11" s="73" t="s">
        <v>940</v>
      </c>
      <c r="C11" s="54">
        <v>2011</v>
      </c>
      <c r="D11" s="73" t="s">
        <v>941</v>
      </c>
      <c r="E11" s="56" t="s">
        <v>20</v>
      </c>
      <c r="F11" s="54">
        <v>2009</v>
      </c>
      <c r="G11" s="54" t="s">
        <v>326</v>
      </c>
      <c r="H11" s="54"/>
      <c r="I11" s="54"/>
      <c r="J11" s="66" t="s">
        <v>1013</v>
      </c>
      <c r="K11" s="54" t="s">
        <v>1091</v>
      </c>
      <c r="L11" s="54" t="s">
        <v>725</v>
      </c>
      <c r="M11" s="54"/>
      <c r="N11" s="54"/>
      <c r="O11" s="54">
        <v>61</v>
      </c>
      <c r="P11" s="54"/>
      <c r="Q11" s="54"/>
      <c r="R11" s="54"/>
      <c r="S11" s="54"/>
      <c r="T11" s="54"/>
      <c r="U11" s="54">
        <v>0.89</v>
      </c>
      <c r="V11" s="54"/>
      <c r="W11" s="54"/>
      <c r="X11" s="66">
        <f t="shared" si="0"/>
        <v>0.89</v>
      </c>
      <c r="Y11" s="54">
        <v>128.4</v>
      </c>
      <c r="Z11" s="192" t="str">
        <f t="shared" si="1"/>
        <v>S</v>
      </c>
      <c r="AA11" s="66"/>
      <c r="AB11" s="66"/>
      <c r="AC11" s="66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s="45" customFormat="1">
      <c r="A12" s="66"/>
      <c r="B12" s="73" t="s">
        <v>766</v>
      </c>
      <c r="C12" s="54">
        <v>2013</v>
      </c>
      <c r="D12" s="66"/>
      <c r="E12" s="56" t="s">
        <v>172</v>
      </c>
      <c r="F12" s="54">
        <v>2011</v>
      </c>
      <c r="G12" s="54" t="s">
        <v>631</v>
      </c>
      <c r="H12" s="66" t="s">
        <v>159</v>
      </c>
      <c r="I12" s="66" t="s">
        <v>1014</v>
      </c>
      <c r="J12" s="74" t="s">
        <v>1013</v>
      </c>
      <c r="K12" s="74" t="s">
        <v>1096</v>
      </c>
      <c r="L12" s="54" t="s">
        <v>974</v>
      </c>
      <c r="M12" s="66"/>
      <c r="N12" s="66"/>
      <c r="O12" s="66" t="s">
        <v>972</v>
      </c>
      <c r="P12" s="66"/>
      <c r="Q12" s="66"/>
      <c r="R12" s="66"/>
      <c r="S12" s="66"/>
      <c r="T12" s="66"/>
      <c r="U12" s="54">
        <v>0.84499999999999997</v>
      </c>
      <c r="V12" s="66"/>
      <c r="W12" s="66"/>
      <c r="X12" s="66">
        <f t="shared" si="0"/>
        <v>0.84499999999999997</v>
      </c>
      <c r="Y12" s="54">
        <v>178.7</v>
      </c>
      <c r="Z12" s="192" t="str">
        <f t="shared" si="1"/>
        <v>S</v>
      </c>
      <c r="AA12" s="66"/>
      <c r="AB12" s="66"/>
      <c r="AC12" s="66"/>
      <c r="AD12" s="172"/>
      <c r="AE12" s="172"/>
      <c r="AF12" s="172"/>
      <c r="AG12" s="172"/>
      <c r="AH12" s="172"/>
      <c r="AI12" s="172"/>
      <c r="AJ12" s="172"/>
      <c r="AK12" s="172"/>
      <c r="AL12" s="172"/>
    </row>
    <row r="13" spans="1:38" s="45" customFormat="1">
      <c r="A13" s="66"/>
      <c r="B13" s="73" t="s">
        <v>766</v>
      </c>
      <c r="C13" s="54">
        <v>2013</v>
      </c>
      <c r="D13" s="66"/>
      <c r="E13" s="56" t="s">
        <v>172</v>
      </c>
      <c r="F13" s="54">
        <v>2011</v>
      </c>
      <c r="G13" s="54" t="s">
        <v>631</v>
      </c>
      <c r="H13" s="66" t="s">
        <v>159</v>
      </c>
      <c r="I13" s="66" t="s">
        <v>1014</v>
      </c>
      <c r="J13" s="74" t="s">
        <v>1013</v>
      </c>
      <c r="K13" s="74" t="s">
        <v>1096</v>
      </c>
      <c r="L13" s="54" t="s">
        <v>974</v>
      </c>
      <c r="M13" s="66"/>
      <c r="N13" s="66"/>
      <c r="O13" s="66" t="s">
        <v>972</v>
      </c>
      <c r="P13" s="66"/>
      <c r="Q13" s="66"/>
      <c r="R13" s="66"/>
      <c r="S13" s="66"/>
      <c r="T13" s="66"/>
      <c r="U13" s="54">
        <v>0.84899999999999998</v>
      </c>
      <c r="V13" s="66"/>
      <c r="W13" s="66"/>
      <c r="X13" s="66">
        <f t="shared" si="0"/>
        <v>0.84899999999999998</v>
      </c>
      <c r="Y13" s="54">
        <v>173</v>
      </c>
      <c r="Z13" s="192" t="str">
        <f t="shared" si="1"/>
        <v>S</v>
      </c>
      <c r="AA13" s="66"/>
      <c r="AB13" s="66"/>
      <c r="AC13" s="66"/>
      <c r="AD13" s="172"/>
      <c r="AE13" s="172"/>
      <c r="AF13" s="172"/>
      <c r="AG13" s="172"/>
      <c r="AH13" s="172"/>
      <c r="AI13" s="172"/>
      <c r="AJ13" s="172"/>
      <c r="AK13" s="172"/>
      <c r="AL13" s="172"/>
    </row>
    <row r="14" spans="1:38" s="45" customFormat="1">
      <c r="A14" s="66"/>
      <c r="B14" s="73" t="s">
        <v>766</v>
      </c>
      <c r="C14" s="54">
        <v>2013</v>
      </c>
      <c r="D14" s="66"/>
      <c r="E14" s="56" t="s">
        <v>172</v>
      </c>
      <c r="F14" s="54">
        <v>2011</v>
      </c>
      <c r="G14" s="54" t="s">
        <v>631</v>
      </c>
      <c r="H14" s="66" t="s">
        <v>159</v>
      </c>
      <c r="I14" s="66" t="s">
        <v>1014</v>
      </c>
      <c r="J14" s="74" t="s">
        <v>1013</v>
      </c>
      <c r="K14" s="74" t="s">
        <v>1096</v>
      </c>
      <c r="L14" s="54" t="s">
        <v>974</v>
      </c>
      <c r="M14" s="66"/>
      <c r="N14" s="66"/>
      <c r="O14" s="66" t="s">
        <v>972</v>
      </c>
      <c r="P14" s="66"/>
      <c r="Q14" s="66"/>
      <c r="R14" s="66"/>
      <c r="S14" s="66"/>
      <c r="T14" s="66"/>
      <c r="U14" s="54">
        <v>0.86899999999999999</v>
      </c>
      <c r="V14" s="66"/>
      <c r="W14" s="66"/>
      <c r="X14" s="66">
        <f t="shared" si="0"/>
        <v>0.86899999999999999</v>
      </c>
      <c r="Y14" s="54">
        <v>150.9</v>
      </c>
      <c r="Z14" s="192" t="str">
        <f t="shared" si="1"/>
        <v>S</v>
      </c>
      <c r="AA14" s="66"/>
      <c r="AB14" s="66"/>
      <c r="AC14" s="66"/>
      <c r="AD14" s="172"/>
      <c r="AE14" s="172"/>
      <c r="AF14" s="172"/>
      <c r="AG14" s="172"/>
      <c r="AH14" s="172"/>
      <c r="AI14" s="172"/>
      <c r="AJ14" s="172"/>
      <c r="AK14" s="172"/>
      <c r="AL14" s="172"/>
    </row>
    <row r="15" spans="1:38" s="45" customFormat="1">
      <c r="A15" s="66"/>
      <c r="B15" s="73" t="s">
        <v>766</v>
      </c>
      <c r="C15" s="54">
        <v>2013</v>
      </c>
      <c r="D15" s="66"/>
      <c r="E15" s="56" t="s">
        <v>172</v>
      </c>
      <c r="F15" s="54">
        <v>2011</v>
      </c>
      <c r="G15" s="54" t="s">
        <v>631</v>
      </c>
      <c r="H15" s="66" t="s">
        <v>159</v>
      </c>
      <c r="I15" s="66" t="s">
        <v>1014</v>
      </c>
      <c r="J15" s="74" t="s">
        <v>1013</v>
      </c>
      <c r="K15" s="74" t="s">
        <v>1096</v>
      </c>
      <c r="L15" s="54" t="s">
        <v>974</v>
      </c>
      <c r="M15" s="66"/>
      <c r="N15" s="66"/>
      <c r="O15" s="66" t="s">
        <v>972</v>
      </c>
      <c r="P15" s="66"/>
      <c r="Q15" s="66"/>
      <c r="R15" s="66"/>
      <c r="S15" s="66"/>
      <c r="T15" s="66"/>
      <c r="U15" s="54">
        <v>0.871</v>
      </c>
      <c r="V15" s="66"/>
      <c r="W15" s="66"/>
      <c r="X15" s="66">
        <f t="shared" si="0"/>
        <v>0.871</v>
      </c>
      <c r="Y15" s="54">
        <v>149</v>
      </c>
      <c r="Z15" s="192" t="str">
        <f t="shared" si="1"/>
        <v>S</v>
      </c>
      <c r="AA15" s="66"/>
      <c r="AB15" s="66"/>
      <c r="AC15" s="66"/>
      <c r="AD15" s="172"/>
      <c r="AE15" s="172"/>
      <c r="AF15" s="172"/>
      <c r="AG15" s="172"/>
      <c r="AH15" s="172"/>
      <c r="AI15" s="172"/>
      <c r="AJ15" s="172"/>
      <c r="AK15" s="172"/>
      <c r="AL15" s="172"/>
    </row>
    <row r="16" spans="1:38" s="45" customFormat="1">
      <c r="A16" s="66"/>
      <c r="B16" s="73" t="s">
        <v>766</v>
      </c>
      <c r="C16" s="54">
        <v>2013</v>
      </c>
      <c r="D16" s="66"/>
      <c r="E16" s="56" t="s">
        <v>172</v>
      </c>
      <c r="F16" s="54">
        <v>2011</v>
      </c>
      <c r="G16" s="54" t="s">
        <v>631</v>
      </c>
      <c r="H16" s="66" t="s">
        <v>159</v>
      </c>
      <c r="I16" s="66" t="s">
        <v>1014</v>
      </c>
      <c r="J16" s="74" t="s">
        <v>1013</v>
      </c>
      <c r="K16" s="74" t="s">
        <v>1096</v>
      </c>
      <c r="L16" s="54" t="s">
        <v>974</v>
      </c>
      <c r="M16" s="66"/>
      <c r="N16" s="66"/>
      <c r="O16" s="66" t="s">
        <v>972</v>
      </c>
      <c r="P16" s="66"/>
      <c r="Q16" s="66"/>
      <c r="R16" s="66"/>
      <c r="S16" s="66"/>
      <c r="T16" s="66"/>
      <c r="U16" s="54">
        <v>0.875</v>
      </c>
      <c r="V16" s="66"/>
      <c r="W16" s="66"/>
      <c r="X16" s="66">
        <f t="shared" si="0"/>
        <v>0.875</v>
      </c>
      <c r="Y16" s="54">
        <v>144.80000000000001</v>
      </c>
      <c r="Z16" s="192" t="str">
        <f t="shared" si="1"/>
        <v>S</v>
      </c>
      <c r="AA16" s="66"/>
      <c r="AB16" s="66"/>
      <c r="AC16" s="66"/>
      <c r="AD16" s="172"/>
      <c r="AE16" s="172"/>
      <c r="AF16" s="172"/>
      <c r="AG16" s="172"/>
      <c r="AH16" s="172"/>
      <c r="AI16" s="172"/>
      <c r="AJ16" s="172"/>
      <c r="AK16" s="172"/>
      <c r="AL16" s="172"/>
    </row>
    <row r="17" spans="1:38" s="45" customFormat="1">
      <c r="A17" s="66"/>
      <c r="B17" s="73" t="s">
        <v>766</v>
      </c>
      <c r="C17" s="54">
        <v>2013</v>
      </c>
      <c r="D17" s="66"/>
      <c r="E17" s="56" t="s">
        <v>172</v>
      </c>
      <c r="F17" s="54">
        <v>2011</v>
      </c>
      <c r="G17" s="54" t="s">
        <v>631</v>
      </c>
      <c r="H17" s="66" t="s">
        <v>159</v>
      </c>
      <c r="I17" s="66" t="s">
        <v>1014</v>
      </c>
      <c r="J17" s="74" t="s">
        <v>1013</v>
      </c>
      <c r="K17" s="74" t="s">
        <v>1096</v>
      </c>
      <c r="L17" s="54" t="s">
        <v>974</v>
      </c>
      <c r="M17" s="66"/>
      <c r="N17" s="66"/>
      <c r="O17" s="66" t="s">
        <v>972</v>
      </c>
      <c r="P17" s="66"/>
      <c r="Q17" s="66"/>
      <c r="R17" s="66"/>
      <c r="S17" s="66"/>
      <c r="T17" s="66"/>
      <c r="U17" s="54">
        <v>0.875</v>
      </c>
      <c r="V17" s="66"/>
      <c r="W17" s="66"/>
      <c r="X17" s="66">
        <f t="shared" si="0"/>
        <v>0.875</v>
      </c>
      <c r="Y17" s="54">
        <v>143.80000000000001</v>
      </c>
      <c r="Z17" s="192" t="str">
        <f t="shared" si="1"/>
        <v>S</v>
      </c>
      <c r="AA17" s="66"/>
      <c r="AB17" s="66"/>
      <c r="AC17" s="66"/>
      <c r="AD17" s="172"/>
      <c r="AE17" s="172"/>
      <c r="AF17" s="172"/>
      <c r="AG17" s="172"/>
      <c r="AH17" s="172"/>
      <c r="AI17" s="172"/>
      <c r="AJ17" s="172"/>
      <c r="AK17" s="172"/>
      <c r="AL17" s="172"/>
    </row>
    <row r="18" spans="1:38" s="48" customFormat="1">
      <c r="A18" s="66"/>
      <c r="B18" s="73" t="s">
        <v>766</v>
      </c>
      <c r="C18" s="54">
        <v>2013</v>
      </c>
      <c r="D18" s="66"/>
      <c r="E18" s="56" t="s">
        <v>172</v>
      </c>
      <c r="F18" s="54">
        <v>2011</v>
      </c>
      <c r="G18" s="54" t="s">
        <v>631</v>
      </c>
      <c r="H18" s="66" t="s">
        <v>159</v>
      </c>
      <c r="I18" s="66" t="s">
        <v>1014</v>
      </c>
      <c r="J18" s="74" t="s">
        <v>1013</v>
      </c>
      <c r="K18" s="74" t="s">
        <v>1096</v>
      </c>
      <c r="L18" s="54" t="s">
        <v>974</v>
      </c>
      <c r="M18" s="66"/>
      <c r="N18" s="66"/>
      <c r="O18" s="66" t="s">
        <v>972</v>
      </c>
      <c r="P18" s="66"/>
      <c r="Q18" s="66"/>
      <c r="R18" s="66"/>
      <c r="S18" s="66"/>
      <c r="T18" s="66"/>
      <c r="U18" s="54">
        <v>0.876</v>
      </c>
      <c r="V18" s="66"/>
      <c r="W18" s="66"/>
      <c r="X18" s="66">
        <f t="shared" si="0"/>
        <v>0.876</v>
      </c>
      <c r="Y18" s="54">
        <v>143.19999999999999</v>
      </c>
      <c r="Z18" s="192" t="str">
        <f t="shared" si="1"/>
        <v>S</v>
      </c>
      <c r="AA18" s="194"/>
      <c r="AB18" s="194"/>
      <c r="AC18" s="194"/>
      <c r="AD18" s="204"/>
      <c r="AE18" s="204"/>
      <c r="AF18" s="204"/>
      <c r="AG18" s="204"/>
      <c r="AH18" s="204"/>
      <c r="AI18" s="204"/>
      <c r="AJ18" s="204"/>
      <c r="AK18" s="204"/>
      <c r="AL18" s="204"/>
    </row>
    <row r="19" spans="1:38" s="45" customFormat="1">
      <c r="A19" s="66"/>
      <c r="B19" s="73" t="s">
        <v>766</v>
      </c>
      <c r="C19" s="54">
        <v>2013</v>
      </c>
      <c r="D19" s="66"/>
      <c r="E19" s="56" t="s">
        <v>172</v>
      </c>
      <c r="F19" s="54">
        <v>2011</v>
      </c>
      <c r="G19" s="54" t="s">
        <v>631</v>
      </c>
      <c r="H19" s="66" t="s">
        <v>159</v>
      </c>
      <c r="I19" s="66" t="s">
        <v>1014</v>
      </c>
      <c r="J19" s="74" t="s">
        <v>1013</v>
      </c>
      <c r="K19" s="74" t="s">
        <v>1096</v>
      </c>
      <c r="L19" s="54" t="s">
        <v>974</v>
      </c>
      <c r="M19" s="66"/>
      <c r="N19" s="66"/>
      <c r="O19" s="66" t="s">
        <v>972</v>
      </c>
      <c r="P19" s="66"/>
      <c r="Q19" s="66"/>
      <c r="R19" s="66"/>
      <c r="S19" s="66"/>
      <c r="T19" s="66"/>
      <c r="U19" s="54">
        <v>0.88400000000000001</v>
      </c>
      <c r="V19" s="66"/>
      <c r="W19" s="66"/>
      <c r="X19" s="66">
        <f t="shared" si="0"/>
        <v>0.88400000000000001</v>
      </c>
      <c r="Y19" s="54">
        <v>133.5</v>
      </c>
      <c r="Z19" s="192" t="str">
        <f t="shared" si="1"/>
        <v>S</v>
      </c>
      <c r="AA19" s="66"/>
      <c r="AB19" s="66"/>
      <c r="AC19" s="66"/>
      <c r="AD19" s="172"/>
      <c r="AE19" s="172"/>
      <c r="AF19" s="172"/>
      <c r="AG19" s="172"/>
      <c r="AH19" s="172"/>
      <c r="AI19" s="172"/>
      <c r="AJ19" s="172"/>
      <c r="AK19" s="172"/>
      <c r="AL19" s="172"/>
    </row>
    <row r="20" spans="1:38" s="48" customFormat="1">
      <c r="A20" s="66"/>
      <c r="B20" s="73" t="s">
        <v>766</v>
      </c>
      <c r="C20" s="54">
        <v>2013</v>
      </c>
      <c r="D20" s="66"/>
      <c r="E20" s="56" t="s">
        <v>172</v>
      </c>
      <c r="F20" s="54">
        <v>2011</v>
      </c>
      <c r="G20" s="54" t="s">
        <v>631</v>
      </c>
      <c r="H20" s="66" t="s">
        <v>159</v>
      </c>
      <c r="I20" s="66" t="s">
        <v>1014</v>
      </c>
      <c r="J20" s="74" t="s">
        <v>1013</v>
      </c>
      <c r="K20" s="74" t="s">
        <v>1096</v>
      </c>
      <c r="L20" s="54" t="s">
        <v>974</v>
      </c>
      <c r="M20" s="66"/>
      <c r="N20" s="66"/>
      <c r="O20" s="66" t="s">
        <v>972</v>
      </c>
      <c r="P20" s="66"/>
      <c r="Q20" s="66"/>
      <c r="R20" s="66"/>
      <c r="S20" s="66"/>
      <c r="T20" s="66"/>
      <c r="U20" s="54">
        <v>0.88400000000000001</v>
      </c>
      <c r="V20" s="66"/>
      <c r="W20" s="66"/>
      <c r="X20" s="66">
        <f t="shared" si="0"/>
        <v>0.88400000000000001</v>
      </c>
      <c r="Y20" s="54">
        <v>134</v>
      </c>
      <c r="Z20" s="192" t="str">
        <f t="shared" si="1"/>
        <v>S</v>
      </c>
      <c r="AA20" s="194"/>
      <c r="AB20" s="194"/>
      <c r="AC20" s="194"/>
      <c r="AD20" s="204"/>
      <c r="AE20" s="204"/>
      <c r="AF20" s="204"/>
      <c r="AG20" s="204"/>
      <c r="AH20" s="204"/>
      <c r="AI20" s="204"/>
      <c r="AJ20" s="204"/>
      <c r="AK20" s="204"/>
      <c r="AL20" s="204"/>
    </row>
    <row r="21" spans="1:38" s="45" customFormat="1">
      <c r="A21" s="66"/>
      <c r="B21" s="73" t="s">
        <v>766</v>
      </c>
      <c r="C21" s="54">
        <v>2013</v>
      </c>
      <c r="D21" s="66"/>
      <c r="E21" s="56" t="s">
        <v>172</v>
      </c>
      <c r="F21" s="54">
        <v>2011</v>
      </c>
      <c r="G21" s="54" t="s">
        <v>631</v>
      </c>
      <c r="H21" s="66" t="s">
        <v>159</v>
      </c>
      <c r="I21" s="66" t="s">
        <v>1014</v>
      </c>
      <c r="J21" s="74" t="s">
        <v>1013</v>
      </c>
      <c r="K21" s="74" t="s">
        <v>1096</v>
      </c>
      <c r="L21" s="54" t="s">
        <v>974</v>
      </c>
      <c r="M21" s="66"/>
      <c r="N21" s="66"/>
      <c r="O21" s="66" t="s">
        <v>972</v>
      </c>
      <c r="P21" s="66"/>
      <c r="Q21" s="66"/>
      <c r="R21" s="66"/>
      <c r="S21" s="66"/>
      <c r="T21" s="66"/>
      <c r="U21" s="54">
        <v>0.88500000000000001</v>
      </c>
      <c r="V21" s="66"/>
      <c r="W21" s="66"/>
      <c r="X21" s="66">
        <f t="shared" si="0"/>
        <v>0.88500000000000001</v>
      </c>
      <c r="Y21" s="54">
        <v>132.5</v>
      </c>
      <c r="Z21" s="192" t="str">
        <f t="shared" si="1"/>
        <v>S</v>
      </c>
      <c r="AA21" s="66"/>
      <c r="AB21" s="66"/>
      <c r="AC21" s="66"/>
      <c r="AD21" s="172"/>
      <c r="AE21" s="172"/>
      <c r="AF21" s="172"/>
      <c r="AG21" s="172"/>
      <c r="AH21" s="172"/>
      <c r="AI21" s="172"/>
      <c r="AJ21" s="172"/>
      <c r="AK21" s="172"/>
      <c r="AL21" s="172"/>
    </row>
    <row r="22" spans="1:38" s="48" customFormat="1">
      <c r="A22" s="66"/>
      <c r="B22" s="73" t="s">
        <v>766</v>
      </c>
      <c r="C22" s="54">
        <v>2013</v>
      </c>
      <c r="D22" s="66"/>
      <c r="E22" s="56" t="s">
        <v>172</v>
      </c>
      <c r="F22" s="54">
        <v>2011</v>
      </c>
      <c r="G22" s="54" t="s">
        <v>631</v>
      </c>
      <c r="H22" s="66" t="s">
        <v>159</v>
      </c>
      <c r="I22" s="66" t="s">
        <v>1014</v>
      </c>
      <c r="J22" s="74" t="s">
        <v>1013</v>
      </c>
      <c r="K22" s="74" t="s">
        <v>1096</v>
      </c>
      <c r="L22" s="54" t="s">
        <v>974</v>
      </c>
      <c r="M22" s="66"/>
      <c r="N22" s="66"/>
      <c r="O22" s="66" t="s">
        <v>972</v>
      </c>
      <c r="P22" s="66"/>
      <c r="Q22" s="66"/>
      <c r="R22" s="66"/>
      <c r="S22" s="66"/>
      <c r="T22" s="66"/>
      <c r="U22" s="54">
        <v>0.88600000000000001</v>
      </c>
      <c r="V22" s="66"/>
      <c r="W22" s="66"/>
      <c r="X22" s="66">
        <f t="shared" si="0"/>
        <v>0.88600000000000001</v>
      </c>
      <c r="Y22" s="54">
        <v>131.80000000000001</v>
      </c>
      <c r="Z22" s="192" t="str">
        <f t="shared" si="1"/>
        <v>S</v>
      </c>
      <c r="AA22" s="194"/>
      <c r="AB22" s="194"/>
      <c r="AC22" s="194"/>
      <c r="AD22" s="204"/>
      <c r="AE22" s="204"/>
      <c r="AF22" s="204"/>
      <c r="AG22" s="204"/>
      <c r="AH22" s="204"/>
      <c r="AI22" s="204"/>
      <c r="AJ22" s="204"/>
      <c r="AK22" s="204"/>
      <c r="AL22" s="204"/>
    </row>
    <row r="23" spans="1:38" s="45" customFormat="1">
      <c r="A23" s="66"/>
      <c r="B23" s="73" t="s">
        <v>766</v>
      </c>
      <c r="C23" s="54">
        <v>2013</v>
      </c>
      <c r="D23" s="66"/>
      <c r="E23" s="56" t="s">
        <v>172</v>
      </c>
      <c r="F23" s="54">
        <v>2011</v>
      </c>
      <c r="G23" s="54" t="s">
        <v>631</v>
      </c>
      <c r="H23" s="66" t="s">
        <v>159</v>
      </c>
      <c r="I23" s="66" t="s">
        <v>1014</v>
      </c>
      <c r="J23" s="74" t="s">
        <v>1013</v>
      </c>
      <c r="K23" s="74" t="s">
        <v>1096</v>
      </c>
      <c r="L23" s="54" t="s">
        <v>974</v>
      </c>
      <c r="M23" s="66"/>
      <c r="N23" s="66"/>
      <c r="O23" s="66" t="s">
        <v>972</v>
      </c>
      <c r="P23" s="66"/>
      <c r="Q23" s="66"/>
      <c r="R23" s="66"/>
      <c r="S23" s="66"/>
      <c r="T23" s="66"/>
      <c r="U23" s="54">
        <v>0.88900000000000001</v>
      </c>
      <c r="V23" s="66"/>
      <c r="W23" s="66"/>
      <c r="X23" s="66">
        <f t="shared" si="0"/>
        <v>0.88900000000000001</v>
      </c>
      <c r="Y23" s="54">
        <v>128.4</v>
      </c>
      <c r="Z23" s="192" t="str">
        <f t="shared" si="1"/>
        <v>S</v>
      </c>
      <c r="AA23" s="66"/>
      <c r="AB23" s="66"/>
      <c r="AC23" s="66"/>
      <c r="AD23" s="172"/>
      <c r="AE23" s="172"/>
      <c r="AF23" s="172"/>
      <c r="AG23" s="172"/>
      <c r="AH23" s="172"/>
      <c r="AI23" s="172"/>
      <c r="AJ23" s="172"/>
      <c r="AK23" s="172"/>
      <c r="AL23" s="172"/>
    </row>
    <row r="24" spans="1:38" s="45" customFormat="1">
      <c r="A24" s="66"/>
      <c r="B24" s="73" t="s">
        <v>766</v>
      </c>
      <c r="C24" s="54">
        <v>2013</v>
      </c>
      <c r="D24" s="66"/>
      <c r="E24" s="56" t="s">
        <v>172</v>
      </c>
      <c r="F24" s="54">
        <v>2011</v>
      </c>
      <c r="G24" s="54" t="s">
        <v>631</v>
      </c>
      <c r="H24" s="66" t="s">
        <v>159</v>
      </c>
      <c r="I24" s="66" t="s">
        <v>1014</v>
      </c>
      <c r="J24" s="74" t="s">
        <v>1013</v>
      </c>
      <c r="K24" s="74" t="s">
        <v>1096</v>
      </c>
      <c r="L24" s="54" t="s">
        <v>974</v>
      </c>
      <c r="M24" s="66"/>
      <c r="N24" s="66"/>
      <c r="O24" s="66" t="s">
        <v>972</v>
      </c>
      <c r="P24" s="66"/>
      <c r="Q24" s="66"/>
      <c r="R24" s="66"/>
      <c r="S24" s="66"/>
      <c r="T24" s="66"/>
      <c r="U24" s="54">
        <v>0.89</v>
      </c>
      <c r="V24" s="66"/>
      <c r="W24" s="66"/>
      <c r="X24" s="66">
        <f t="shared" si="0"/>
        <v>0.89</v>
      </c>
      <c r="Y24" s="54">
        <v>126.9</v>
      </c>
      <c r="Z24" s="192" t="str">
        <f t="shared" si="1"/>
        <v>S</v>
      </c>
      <c r="AA24" s="66"/>
      <c r="AB24" s="66"/>
      <c r="AC24" s="66"/>
      <c r="AD24" s="172"/>
      <c r="AE24" s="172"/>
      <c r="AF24" s="172"/>
      <c r="AG24" s="172"/>
      <c r="AH24" s="172"/>
      <c r="AI24" s="172"/>
      <c r="AJ24" s="172"/>
      <c r="AK24" s="172"/>
      <c r="AL24" s="172"/>
    </row>
    <row r="25" spans="1:38" s="45" customFormat="1">
      <c r="A25" s="66"/>
      <c r="B25" s="73" t="s">
        <v>766</v>
      </c>
      <c r="C25" s="54">
        <v>2013</v>
      </c>
      <c r="D25" s="66"/>
      <c r="E25" s="56" t="s">
        <v>172</v>
      </c>
      <c r="F25" s="54">
        <v>2011</v>
      </c>
      <c r="G25" s="54" t="s">
        <v>631</v>
      </c>
      <c r="H25" s="66" t="s">
        <v>159</v>
      </c>
      <c r="I25" s="66" t="s">
        <v>1014</v>
      </c>
      <c r="J25" s="74" t="s">
        <v>1013</v>
      </c>
      <c r="K25" s="74" t="s">
        <v>1096</v>
      </c>
      <c r="L25" s="54" t="s">
        <v>974</v>
      </c>
      <c r="M25" s="66"/>
      <c r="N25" s="66"/>
      <c r="O25" s="66" t="s">
        <v>972</v>
      </c>
      <c r="P25" s="66"/>
      <c r="Q25" s="66"/>
      <c r="R25" s="66"/>
      <c r="S25" s="66"/>
      <c r="T25" s="66"/>
      <c r="U25" s="54">
        <v>0.89</v>
      </c>
      <c r="V25" s="66"/>
      <c r="W25" s="66"/>
      <c r="X25" s="66">
        <f t="shared" si="0"/>
        <v>0.89</v>
      </c>
      <c r="Y25" s="54">
        <v>126.8</v>
      </c>
      <c r="Z25" s="192" t="str">
        <f t="shared" si="1"/>
        <v>S</v>
      </c>
      <c r="AA25" s="66"/>
      <c r="AB25" s="66"/>
      <c r="AC25" s="66"/>
      <c r="AD25" s="172"/>
      <c r="AE25" s="172"/>
      <c r="AF25" s="172"/>
      <c r="AG25" s="172"/>
      <c r="AH25" s="172"/>
      <c r="AI25" s="172"/>
      <c r="AJ25" s="172"/>
      <c r="AK25" s="172"/>
      <c r="AL25" s="172"/>
    </row>
    <row r="26" spans="1:38" s="45" customFormat="1">
      <c r="A26" s="66"/>
      <c r="B26" s="73" t="s">
        <v>766</v>
      </c>
      <c r="C26" s="54">
        <v>2013</v>
      </c>
      <c r="D26" s="66"/>
      <c r="E26" s="56" t="s">
        <v>172</v>
      </c>
      <c r="F26" s="54">
        <v>2011</v>
      </c>
      <c r="G26" s="54" t="s">
        <v>631</v>
      </c>
      <c r="H26" s="66" t="s">
        <v>159</v>
      </c>
      <c r="I26" s="66" t="s">
        <v>1014</v>
      </c>
      <c r="J26" s="74" t="s">
        <v>1013</v>
      </c>
      <c r="K26" s="74" t="s">
        <v>1096</v>
      </c>
      <c r="L26" s="54" t="s">
        <v>974</v>
      </c>
      <c r="M26" s="66"/>
      <c r="N26" s="66"/>
      <c r="O26" s="66" t="s">
        <v>972</v>
      </c>
      <c r="P26" s="66"/>
      <c r="Q26" s="66"/>
      <c r="R26" s="66"/>
      <c r="S26" s="66"/>
      <c r="T26" s="66"/>
      <c r="U26" s="54">
        <v>0.89200000000000002</v>
      </c>
      <c r="V26" s="66"/>
      <c r="W26" s="66"/>
      <c r="X26" s="66">
        <f t="shared" si="0"/>
        <v>0.89200000000000002</v>
      </c>
      <c r="Y26" s="54">
        <v>124.9</v>
      </c>
      <c r="Z26" s="192" t="str">
        <f t="shared" si="1"/>
        <v>S</v>
      </c>
      <c r="AA26" s="66"/>
      <c r="AB26" s="66"/>
      <c r="AC26" s="66"/>
      <c r="AD26" s="172"/>
      <c r="AE26" s="172"/>
      <c r="AF26" s="172"/>
      <c r="AG26" s="172"/>
      <c r="AH26" s="172"/>
      <c r="AI26" s="172"/>
      <c r="AJ26" s="172"/>
      <c r="AK26" s="172"/>
      <c r="AL26" s="172"/>
    </row>
    <row r="27" spans="1:38" s="45" customFormat="1">
      <c r="A27" s="66"/>
      <c r="B27" s="73" t="s">
        <v>766</v>
      </c>
      <c r="C27" s="54">
        <v>2013</v>
      </c>
      <c r="D27" s="66"/>
      <c r="E27" s="56" t="s">
        <v>172</v>
      </c>
      <c r="F27" s="54">
        <v>2011</v>
      </c>
      <c r="G27" s="54" t="s">
        <v>631</v>
      </c>
      <c r="H27" s="66" t="s">
        <v>159</v>
      </c>
      <c r="I27" s="66" t="s">
        <v>1014</v>
      </c>
      <c r="J27" s="74" t="s">
        <v>1013</v>
      </c>
      <c r="K27" s="74" t="s">
        <v>1096</v>
      </c>
      <c r="L27" s="54" t="s">
        <v>974</v>
      </c>
      <c r="M27" s="66"/>
      <c r="N27" s="66"/>
      <c r="O27" s="66" t="s">
        <v>972</v>
      </c>
      <c r="P27" s="66"/>
      <c r="Q27" s="66"/>
      <c r="R27" s="66"/>
      <c r="S27" s="66"/>
      <c r="T27" s="66"/>
      <c r="U27" s="54">
        <v>0.89200000000000002</v>
      </c>
      <c r="V27" s="66"/>
      <c r="W27" s="66"/>
      <c r="X27" s="66">
        <f t="shared" si="0"/>
        <v>0.89200000000000002</v>
      </c>
      <c r="Y27" s="54">
        <v>125.1</v>
      </c>
      <c r="Z27" s="192" t="str">
        <f t="shared" si="1"/>
        <v>S</v>
      </c>
      <c r="AA27" s="66"/>
      <c r="AB27" s="66"/>
      <c r="AC27" s="66"/>
      <c r="AD27" s="172"/>
      <c r="AE27" s="172"/>
      <c r="AF27" s="172"/>
      <c r="AG27" s="172"/>
      <c r="AH27" s="172"/>
      <c r="AI27" s="172"/>
      <c r="AJ27" s="172"/>
      <c r="AK27" s="172"/>
      <c r="AL27" s="172"/>
    </row>
    <row r="28" spans="1:38" s="48" customFormat="1">
      <c r="A28" s="66"/>
      <c r="B28" s="73" t="s">
        <v>766</v>
      </c>
      <c r="C28" s="54">
        <v>2013</v>
      </c>
      <c r="D28" s="66"/>
      <c r="E28" s="56" t="s">
        <v>172</v>
      </c>
      <c r="F28" s="54">
        <v>2011</v>
      </c>
      <c r="G28" s="54" t="s">
        <v>631</v>
      </c>
      <c r="H28" s="66" t="s">
        <v>159</v>
      </c>
      <c r="I28" s="66" t="s">
        <v>1014</v>
      </c>
      <c r="J28" s="74" t="s">
        <v>1013</v>
      </c>
      <c r="K28" s="74" t="s">
        <v>1096</v>
      </c>
      <c r="L28" s="54" t="s">
        <v>974</v>
      </c>
      <c r="M28" s="66"/>
      <c r="N28" s="66"/>
      <c r="O28" s="66" t="s">
        <v>972</v>
      </c>
      <c r="P28" s="66"/>
      <c r="Q28" s="66"/>
      <c r="R28" s="66"/>
      <c r="S28" s="66"/>
      <c r="T28" s="66"/>
      <c r="U28" s="54">
        <v>0.89800000000000002</v>
      </c>
      <c r="V28" s="66"/>
      <c r="W28" s="66"/>
      <c r="X28" s="66">
        <f t="shared" si="0"/>
        <v>0.89800000000000002</v>
      </c>
      <c r="Y28" s="54">
        <v>117.4</v>
      </c>
      <c r="Z28" s="192" t="str">
        <f t="shared" si="1"/>
        <v>S</v>
      </c>
      <c r="AA28" s="194"/>
      <c r="AB28" s="194"/>
      <c r="AC28" s="194"/>
      <c r="AD28" s="204"/>
      <c r="AE28" s="204"/>
      <c r="AF28" s="204"/>
      <c r="AG28" s="204"/>
      <c r="AH28" s="204"/>
      <c r="AI28" s="204"/>
      <c r="AJ28" s="204"/>
      <c r="AK28" s="204"/>
      <c r="AL28" s="204"/>
    </row>
    <row r="29" spans="1:38" s="48" customFormat="1">
      <c r="A29" s="66"/>
      <c r="B29" s="73" t="s">
        <v>766</v>
      </c>
      <c r="C29" s="54">
        <v>2013</v>
      </c>
      <c r="D29" s="66"/>
      <c r="E29" s="56" t="s">
        <v>172</v>
      </c>
      <c r="F29" s="54">
        <v>2011</v>
      </c>
      <c r="G29" s="54" t="s">
        <v>631</v>
      </c>
      <c r="H29" s="66" t="s">
        <v>159</v>
      </c>
      <c r="I29" s="66" t="s">
        <v>1014</v>
      </c>
      <c r="J29" s="74" t="s">
        <v>1013</v>
      </c>
      <c r="K29" s="74" t="s">
        <v>1096</v>
      </c>
      <c r="L29" s="54" t="s">
        <v>975</v>
      </c>
      <c r="M29" s="66"/>
      <c r="N29" s="66"/>
      <c r="O29" s="66" t="s">
        <v>976</v>
      </c>
      <c r="P29" s="66"/>
      <c r="Q29" s="66"/>
      <c r="R29" s="66"/>
      <c r="S29" s="66"/>
      <c r="T29" s="66"/>
      <c r="U29" s="54">
        <v>0.86599999999999999</v>
      </c>
      <c r="V29" s="66"/>
      <c r="W29" s="66"/>
      <c r="X29" s="66">
        <f t="shared" si="0"/>
        <v>0.86599999999999999</v>
      </c>
      <c r="Y29" s="54">
        <v>154.19999999999999</v>
      </c>
      <c r="Z29" s="192" t="str">
        <f t="shared" si="1"/>
        <v>S</v>
      </c>
      <c r="AA29" s="194"/>
      <c r="AB29" s="194"/>
      <c r="AC29" s="194"/>
      <c r="AD29" s="204"/>
      <c r="AE29" s="204"/>
      <c r="AF29" s="204"/>
      <c r="AG29" s="204"/>
      <c r="AH29" s="204"/>
      <c r="AI29" s="204"/>
      <c r="AJ29" s="204"/>
      <c r="AK29" s="204"/>
      <c r="AL29" s="204"/>
    </row>
    <row r="30" spans="1:38" s="45" customFormat="1">
      <c r="A30" s="66"/>
      <c r="B30" s="73" t="s">
        <v>766</v>
      </c>
      <c r="C30" s="54">
        <v>2013</v>
      </c>
      <c r="D30" s="66"/>
      <c r="E30" s="56" t="s">
        <v>172</v>
      </c>
      <c r="F30" s="54">
        <v>2011</v>
      </c>
      <c r="G30" s="54" t="s">
        <v>631</v>
      </c>
      <c r="H30" s="66" t="s">
        <v>159</v>
      </c>
      <c r="I30" s="66" t="s">
        <v>1014</v>
      </c>
      <c r="J30" s="74" t="s">
        <v>1013</v>
      </c>
      <c r="K30" s="74" t="s">
        <v>1096</v>
      </c>
      <c r="L30" s="54" t="s">
        <v>975</v>
      </c>
      <c r="M30" s="66"/>
      <c r="N30" s="66"/>
      <c r="O30" s="66" t="s">
        <v>976</v>
      </c>
      <c r="P30" s="66"/>
      <c r="Q30" s="66"/>
      <c r="R30" s="66"/>
      <c r="S30" s="66"/>
      <c r="T30" s="66"/>
      <c r="U30" s="54">
        <v>0.89</v>
      </c>
      <c r="V30" s="66"/>
      <c r="W30" s="66"/>
      <c r="X30" s="66">
        <f t="shared" si="0"/>
        <v>0.89</v>
      </c>
      <c r="Y30" s="54">
        <v>127.4</v>
      </c>
      <c r="Z30" s="192" t="str">
        <f t="shared" si="1"/>
        <v>S</v>
      </c>
      <c r="AA30" s="66"/>
      <c r="AB30" s="66"/>
      <c r="AC30" s="66"/>
      <c r="AD30" s="172"/>
      <c r="AE30" s="172"/>
      <c r="AF30" s="172"/>
      <c r="AG30" s="172"/>
      <c r="AH30" s="172"/>
      <c r="AI30" s="172"/>
      <c r="AJ30" s="172"/>
      <c r="AK30" s="172"/>
      <c r="AL30" s="172"/>
    </row>
    <row r="31" spans="1:38" s="48" customFormat="1">
      <c r="A31" s="66"/>
      <c r="B31" s="73" t="s">
        <v>766</v>
      </c>
      <c r="C31" s="54">
        <v>2013</v>
      </c>
      <c r="D31" s="66"/>
      <c r="E31" s="56" t="s">
        <v>172</v>
      </c>
      <c r="F31" s="54">
        <v>2011</v>
      </c>
      <c r="G31" s="54" t="s">
        <v>631</v>
      </c>
      <c r="H31" s="66" t="s">
        <v>159</v>
      </c>
      <c r="I31" s="66" t="s">
        <v>1014</v>
      </c>
      <c r="J31" s="74" t="s">
        <v>1013</v>
      </c>
      <c r="K31" s="74" t="s">
        <v>1096</v>
      </c>
      <c r="L31" s="54" t="s">
        <v>975</v>
      </c>
      <c r="M31" s="66"/>
      <c r="N31" s="66"/>
      <c r="O31" s="66" t="s">
        <v>976</v>
      </c>
      <c r="P31" s="66"/>
      <c r="Q31" s="66"/>
      <c r="R31" s="66"/>
      <c r="S31" s="66"/>
      <c r="T31" s="66"/>
      <c r="U31" s="54">
        <v>0.89400000000000002</v>
      </c>
      <c r="V31" s="66"/>
      <c r="W31" s="66"/>
      <c r="X31" s="66">
        <f t="shared" si="0"/>
        <v>0.89400000000000002</v>
      </c>
      <c r="Y31" s="54">
        <v>122.9</v>
      </c>
      <c r="Z31" s="192" t="str">
        <f t="shared" si="1"/>
        <v>S</v>
      </c>
      <c r="AA31" s="194"/>
      <c r="AB31" s="194"/>
      <c r="AC31" s="194"/>
      <c r="AD31" s="204"/>
      <c r="AE31" s="204"/>
      <c r="AF31" s="204"/>
      <c r="AG31" s="204"/>
      <c r="AH31" s="204"/>
      <c r="AI31" s="204"/>
      <c r="AJ31" s="204"/>
      <c r="AK31" s="204"/>
      <c r="AL31" s="204"/>
    </row>
    <row r="32" spans="1:38" s="48" customFormat="1">
      <c r="A32" s="66"/>
      <c r="B32" s="73" t="s">
        <v>766</v>
      </c>
      <c r="C32" s="54">
        <v>2013</v>
      </c>
      <c r="D32" s="66"/>
      <c r="E32" s="56" t="s">
        <v>172</v>
      </c>
      <c r="F32" s="54">
        <v>2011</v>
      </c>
      <c r="G32" s="54" t="s">
        <v>631</v>
      </c>
      <c r="H32" s="66" t="s">
        <v>159</v>
      </c>
      <c r="I32" s="66" t="s">
        <v>1014</v>
      </c>
      <c r="J32" s="74" t="s">
        <v>1013</v>
      </c>
      <c r="K32" s="74" t="s">
        <v>1096</v>
      </c>
      <c r="L32" s="54" t="s">
        <v>975</v>
      </c>
      <c r="M32" s="66"/>
      <c r="N32" s="66"/>
      <c r="O32" s="66" t="s">
        <v>976</v>
      </c>
      <c r="P32" s="66"/>
      <c r="Q32" s="66"/>
      <c r="R32" s="66"/>
      <c r="S32" s="66"/>
      <c r="T32" s="66"/>
      <c r="U32" s="54">
        <v>0.89500000000000002</v>
      </c>
      <c r="V32" s="66"/>
      <c r="W32" s="66"/>
      <c r="X32" s="66">
        <f t="shared" si="0"/>
        <v>0.89500000000000002</v>
      </c>
      <c r="Y32" s="54">
        <v>121.7</v>
      </c>
      <c r="Z32" s="192" t="str">
        <f t="shared" si="1"/>
        <v>S</v>
      </c>
      <c r="AA32" s="194"/>
      <c r="AB32" s="194"/>
      <c r="AC32" s="194"/>
      <c r="AD32" s="204"/>
      <c r="AE32" s="204"/>
      <c r="AF32" s="204"/>
      <c r="AG32" s="204"/>
      <c r="AH32" s="204"/>
      <c r="AI32" s="204"/>
      <c r="AJ32" s="204"/>
      <c r="AK32" s="204"/>
      <c r="AL32" s="204"/>
    </row>
    <row r="33" spans="1:38" s="48" customFormat="1">
      <c r="A33" s="66"/>
      <c r="B33" s="73" t="s">
        <v>766</v>
      </c>
      <c r="C33" s="54">
        <v>2013</v>
      </c>
      <c r="D33" s="66"/>
      <c r="E33" s="56" t="s">
        <v>172</v>
      </c>
      <c r="F33" s="54">
        <v>2011</v>
      </c>
      <c r="G33" s="54" t="s">
        <v>631</v>
      </c>
      <c r="H33" s="66" t="s">
        <v>159</v>
      </c>
      <c r="I33" s="66" t="s">
        <v>1014</v>
      </c>
      <c r="J33" s="74" t="s">
        <v>1013</v>
      </c>
      <c r="K33" s="74" t="s">
        <v>1096</v>
      </c>
      <c r="L33" s="54" t="s">
        <v>975</v>
      </c>
      <c r="M33" s="66"/>
      <c r="N33" s="66"/>
      <c r="O33" s="66" t="s">
        <v>976</v>
      </c>
      <c r="P33" s="66"/>
      <c r="Q33" s="66"/>
      <c r="R33" s="66"/>
      <c r="S33" s="66"/>
      <c r="T33" s="66"/>
      <c r="U33" s="54">
        <v>0.89900000000000002</v>
      </c>
      <c r="V33" s="66"/>
      <c r="W33" s="66"/>
      <c r="X33" s="66">
        <f t="shared" si="0"/>
        <v>0.89900000000000002</v>
      </c>
      <c r="Y33" s="54">
        <v>117.2</v>
      </c>
      <c r="Z33" s="192" t="str">
        <f t="shared" si="1"/>
        <v>S</v>
      </c>
      <c r="AA33" s="194"/>
      <c r="AB33" s="194"/>
      <c r="AC33" s="194"/>
      <c r="AD33" s="204"/>
      <c r="AE33" s="204"/>
      <c r="AF33" s="204"/>
      <c r="AG33" s="204"/>
      <c r="AH33" s="204"/>
      <c r="AI33" s="204"/>
      <c r="AJ33" s="204"/>
      <c r="AK33" s="204"/>
      <c r="AL33" s="204"/>
    </row>
    <row r="34" spans="1:38" s="48" customFormat="1">
      <c r="A34" s="66"/>
      <c r="B34" s="73"/>
      <c r="C34" s="54"/>
      <c r="D34" s="66"/>
      <c r="E34" s="56"/>
      <c r="F34" s="54"/>
      <c r="G34" s="54"/>
      <c r="H34" s="66"/>
      <c r="I34" s="66"/>
      <c r="J34" s="74"/>
      <c r="K34" s="74"/>
      <c r="L34" s="54"/>
      <c r="M34" s="66"/>
      <c r="N34" s="66"/>
      <c r="O34" s="66"/>
      <c r="P34" s="66"/>
      <c r="Q34" s="66"/>
      <c r="R34" s="66"/>
      <c r="S34" s="66"/>
      <c r="T34" s="66"/>
      <c r="U34" s="54"/>
      <c r="V34" s="66"/>
      <c r="W34" s="66"/>
      <c r="X34" s="66"/>
      <c r="Y34" s="54"/>
      <c r="Z34" s="192"/>
      <c r="AA34" s="194"/>
      <c r="AB34" s="194"/>
      <c r="AC34" s="194"/>
      <c r="AD34" s="204"/>
      <c r="AE34" s="204"/>
      <c r="AF34" s="204"/>
      <c r="AG34" s="204"/>
      <c r="AH34" s="204"/>
      <c r="AI34" s="204"/>
      <c r="AJ34" s="204"/>
      <c r="AK34" s="204"/>
      <c r="AL34" s="204"/>
    </row>
    <row r="35" spans="1:38" s="48" customFormat="1">
      <c r="A35" s="194"/>
      <c r="B35" s="199" t="s">
        <v>766</v>
      </c>
      <c r="C35" s="200">
        <v>2013</v>
      </c>
      <c r="D35" s="194"/>
      <c r="E35" s="201" t="s">
        <v>172</v>
      </c>
      <c r="F35" s="200">
        <v>2011</v>
      </c>
      <c r="G35" s="200" t="s">
        <v>631</v>
      </c>
      <c r="H35" s="194" t="s">
        <v>159</v>
      </c>
      <c r="I35" s="194" t="s">
        <v>1014</v>
      </c>
      <c r="J35" s="202" t="s">
        <v>1013</v>
      </c>
      <c r="K35" s="202" t="s">
        <v>1096</v>
      </c>
      <c r="L35" s="200" t="s">
        <v>978</v>
      </c>
      <c r="M35" s="194"/>
      <c r="N35" s="194"/>
      <c r="O35" s="194" t="s">
        <v>977</v>
      </c>
      <c r="P35" s="194"/>
      <c r="Q35" s="194"/>
      <c r="R35" s="194"/>
      <c r="S35" s="194"/>
      <c r="T35" s="194"/>
      <c r="U35" s="200">
        <v>0.86299999999999999</v>
      </c>
      <c r="V35" s="194"/>
      <c r="W35" s="194"/>
      <c r="X35" s="194">
        <f t="shared" ref="X35:X54" si="2">IF(R35&lt;&gt;0,IF(R35&gt;1,R35/100,R35),IF(U35&lt;&gt;0,IF(U35&gt;1,U35/100,U35),""))</f>
        <v>0.86299999999999999</v>
      </c>
      <c r="Y35" s="54">
        <v>158.4</v>
      </c>
      <c r="Z35" s="203" t="str">
        <f t="shared" ref="Z35:Z54" si="3">IF(X35&lt;&gt;"",IF(X35&lt;0.9,"S","F"),"")</f>
        <v>S</v>
      </c>
      <c r="AA35" s="194"/>
      <c r="AB35" s="194"/>
      <c r="AC35" s="194"/>
      <c r="AD35" s="204"/>
      <c r="AE35" s="204"/>
      <c r="AF35" s="204"/>
      <c r="AG35" s="204"/>
      <c r="AH35" s="204"/>
      <c r="AI35" s="204"/>
      <c r="AJ35" s="204"/>
      <c r="AK35" s="204"/>
      <c r="AL35" s="204"/>
    </row>
    <row r="36" spans="1:38" s="45" customFormat="1">
      <c r="A36" s="194"/>
      <c r="B36" s="199" t="s">
        <v>766</v>
      </c>
      <c r="C36" s="200">
        <v>2013</v>
      </c>
      <c r="D36" s="194"/>
      <c r="E36" s="201" t="s">
        <v>172</v>
      </c>
      <c r="F36" s="200">
        <v>2011</v>
      </c>
      <c r="G36" s="200" t="s">
        <v>631</v>
      </c>
      <c r="H36" s="194" t="s">
        <v>159</v>
      </c>
      <c r="I36" s="194" t="s">
        <v>1014</v>
      </c>
      <c r="J36" s="202" t="s">
        <v>1013</v>
      </c>
      <c r="K36" s="202" t="s">
        <v>1096</v>
      </c>
      <c r="L36" s="200" t="s">
        <v>978</v>
      </c>
      <c r="M36" s="194"/>
      <c r="N36" s="194"/>
      <c r="O36" s="194" t="s">
        <v>977</v>
      </c>
      <c r="P36" s="194"/>
      <c r="Q36" s="194"/>
      <c r="R36" s="194"/>
      <c r="S36" s="194"/>
      <c r="T36" s="194"/>
      <c r="U36" s="200">
        <v>0.86299999999999999</v>
      </c>
      <c r="V36" s="194"/>
      <c r="W36" s="194"/>
      <c r="X36" s="194">
        <f t="shared" si="2"/>
        <v>0.86299999999999999</v>
      </c>
      <c r="Y36" s="54">
        <v>158.30000000000001</v>
      </c>
      <c r="Z36" s="203" t="str">
        <f t="shared" si="3"/>
        <v>S</v>
      </c>
      <c r="AA36" s="66"/>
      <c r="AB36" s="66"/>
      <c r="AC36" s="66"/>
      <c r="AD36" s="172"/>
      <c r="AE36" s="172"/>
      <c r="AF36" s="172"/>
      <c r="AG36" s="172"/>
      <c r="AH36" s="172"/>
      <c r="AI36" s="172"/>
      <c r="AJ36" s="172"/>
      <c r="AK36" s="172"/>
      <c r="AL36" s="172"/>
    </row>
    <row r="37" spans="1:38" s="45" customFormat="1">
      <c r="A37" s="194"/>
      <c r="B37" s="199" t="s">
        <v>766</v>
      </c>
      <c r="C37" s="200">
        <v>2013</v>
      </c>
      <c r="D37" s="194"/>
      <c r="E37" s="201" t="s">
        <v>172</v>
      </c>
      <c r="F37" s="200">
        <v>2011</v>
      </c>
      <c r="G37" s="200" t="s">
        <v>631</v>
      </c>
      <c r="H37" s="194" t="s">
        <v>159</v>
      </c>
      <c r="I37" s="194" t="s">
        <v>1014</v>
      </c>
      <c r="J37" s="202" t="s">
        <v>1013</v>
      </c>
      <c r="K37" s="202" t="s">
        <v>1096</v>
      </c>
      <c r="L37" s="200" t="s">
        <v>978</v>
      </c>
      <c r="M37" s="194"/>
      <c r="N37" s="194"/>
      <c r="O37" s="194" t="s">
        <v>977</v>
      </c>
      <c r="P37" s="194"/>
      <c r="Q37" s="194"/>
      <c r="R37" s="194"/>
      <c r="S37" s="194"/>
      <c r="T37" s="194"/>
      <c r="U37" s="200">
        <v>0.86399999999999999</v>
      </c>
      <c r="V37" s="194"/>
      <c r="W37" s="194"/>
      <c r="X37" s="194">
        <f t="shared" si="2"/>
        <v>0.86399999999999999</v>
      </c>
      <c r="Y37" s="54">
        <v>157</v>
      </c>
      <c r="Z37" s="203" t="str">
        <f t="shared" si="3"/>
        <v>S</v>
      </c>
      <c r="AA37" s="66"/>
      <c r="AB37" s="66"/>
      <c r="AC37" s="66"/>
      <c r="AD37" s="172"/>
      <c r="AE37" s="172"/>
      <c r="AF37" s="172"/>
      <c r="AG37" s="172"/>
      <c r="AH37" s="172"/>
      <c r="AI37" s="172"/>
      <c r="AJ37" s="172"/>
      <c r="AK37" s="172"/>
      <c r="AL37" s="172"/>
    </row>
    <row r="38" spans="1:38" s="48" customFormat="1">
      <c r="A38" s="194"/>
      <c r="B38" s="199" t="s">
        <v>766</v>
      </c>
      <c r="C38" s="200">
        <v>2013</v>
      </c>
      <c r="D38" s="194"/>
      <c r="E38" s="201" t="s">
        <v>172</v>
      </c>
      <c r="F38" s="200">
        <v>2011</v>
      </c>
      <c r="G38" s="200" t="s">
        <v>631</v>
      </c>
      <c r="H38" s="194" t="s">
        <v>159</v>
      </c>
      <c r="I38" s="194" t="s">
        <v>1014</v>
      </c>
      <c r="J38" s="202" t="s">
        <v>1013</v>
      </c>
      <c r="K38" s="202" t="s">
        <v>1096</v>
      </c>
      <c r="L38" s="200" t="s">
        <v>978</v>
      </c>
      <c r="M38" s="194"/>
      <c r="N38" s="194"/>
      <c r="O38" s="194" t="s">
        <v>977</v>
      </c>
      <c r="P38" s="194"/>
      <c r="Q38" s="194"/>
      <c r="R38" s="194"/>
      <c r="S38" s="194"/>
      <c r="T38" s="194"/>
      <c r="U38" s="200">
        <v>0.86499999999999999</v>
      </c>
      <c r="V38" s="194"/>
      <c r="W38" s="194"/>
      <c r="X38" s="194">
        <f t="shared" si="2"/>
        <v>0.86499999999999999</v>
      </c>
      <c r="Y38" s="54">
        <v>155.1</v>
      </c>
      <c r="Z38" s="203" t="str">
        <f t="shared" si="3"/>
        <v>S</v>
      </c>
      <c r="AA38" s="194"/>
      <c r="AB38" s="194"/>
      <c r="AC38" s="194"/>
      <c r="AD38" s="204"/>
      <c r="AE38" s="204"/>
      <c r="AF38" s="204"/>
      <c r="AG38" s="204"/>
      <c r="AH38" s="204"/>
      <c r="AI38" s="204"/>
      <c r="AJ38" s="204"/>
      <c r="AK38" s="204"/>
      <c r="AL38" s="204"/>
    </row>
    <row r="39" spans="1:38" s="48" customFormat="1">
      <c r="A39" s="194"/>
      <c r="B39" s="199" t="s">
        <v>766</v>
      </c>
      <c r="C39" s="200">
        <v>2013</v>
      </c>
      <c r="D39" s="194"/>
      <c r="E39" s="201" t="s">
        <v>172</v>
      </c>
      <c r="F39" s="200">
        <v>2011</v>
      </c>
      <c r="G39" s="200" t="s">
        <v>631</v>
      </c>
      <c r="H39" s="194" t="s">
        <v>159</v>
      </c>
      <c r="I39" s="194" t="s">
        <v>1014</v>
      </c>
      <c r="J39" s="202" t="s">
        <v>1013</v>
      </c>
      <c r="K39" s="202" t="s">
        <v>1096</v>
      </c>
      <c r="L39" s="200" t="s">
        <v>978</v>
      </c>
      <c r="M39" s="194"/>
      <c r="N39" s="194"/>
      <c r="O39" s="194" t="s">
        <v>977</v>
      </c>
      <c r="P39" s="194"/>
      <c r="Q39" s="194"/>
      <c r="R39" s="194"/>
      <c r="S39" s="194"/>
      <c r="T39" s="194"/>
      <c r="U39" s="200">
        <v>0.86599999999999999</v>
      </c>
      <c r="V39" s="194"/>
      <c r="W39" s="194"/>
      <c r="X39" s="194">
        <f t="shared" si="2"/>
        <v>0.86599999999999999</v>
      </c>
      <c r="Y39" s="54">
        <v>154.6</v>
      </c>
      <c r="Z39" s="203" t="str">
        <f t="shared" si="3"/>
        <v>S</v>
      </c>
      <c r="AA39" s="194"/>
      <c r="AB39" s="194"/>
      <c r="AC39" s="194"/>
      <c r="AD39" s="204"/>
      <c r="AE39" s="204"/>
      <c r="AF39" s="204"/>
      <c r="AG39" s="204"/>
      <c r="AH39" s="204"/>
      <c r="AI39" s="204"/>
      <c r="AJ39" s="204"/>
      <c r="AK39" s="204"/>
      <c r="AL39" s="204"/>
    </row>
    <row r="40" spans="1:38" s="45" customFormat="1">
      <c r="A40" s="194"/>
      <c r="B40" s="199" t="s">
        <v>766</v>
      </c>
      <c r="C40" s="200">
        <v>2013</v>
      </c>
      <c r="D40" s="194"/>
      <c r="E40" s="201" t="s">
        <v>172</v>
      </c>
      <c r="F40" s="200">
        <v>2011</v>
      </c>
      <c r="G40" s="200" t="s">
        <v>631</v>
      </c>
      <c r="H40" s="194" t="s">
        <v>159</v>
      </c>
      <c r="I40" s="194" t="s">
        <v>1014</v>
      </c>
      <c r="J40" s="202" t="s">
        <v>1013</v>
      </c>
      <c r="K40" s="202" t="s">
        <v>1096</v>
      </c>
      <c r="L40" s="200" t="s">
        <v>978</v>
      </c>
      <c r="M40" s="194"/>
      <c r="N40" s="194"/>
      <c r="O40" s="194" t="s">
        <v>977</v>
      </c>
      <c r="P40" s="194"/>
      <c r="Q40" s="194"/>
      <c r="R40" s="194"/>
      <c r="S40" s="194"/>
      <c r="T40" s="194"/>
      <c r="U40" s="200">
        <v>0.86899999999999999</v>
      </c>
      <c r="V40" s="194"/>
      <c r="W40" s="194"/>
      <c r="X40" s="194">
        <f t="shared" si="2"/>
        <v>0.86899999999999999</v>
      </c>
      <c r="Y40" s="54">
        <v>150.80000000000001</v>
      </c>
      <c r="Z40" s="203" t="str">
        <f t="shared" si="3"/>
        <v>S</v>
      </c>
      <c r="AA40" s="66"/>
      <c r="AB40" s="66"/>
      <c r="AC40" s="66"/>
      <c r="AD40" s="172"/>
      <c r="AE40" s="172"/>
      <c r="AF40" s="172"/>
      <c r="AG40" s="172"/>
      <c r="AH40" s="172"/>
      <c r="AI40" s="172"/>
      <c r="AJ40" s="172"/>
      <c r="AK40" s="172"/>
      <c r="AL40" s="172"/>
    </row>
    <row r="41" spans="1:38" s="48" customFormat="1">
      <c r="A41" s="194"/>
      <c r="B41" s="199" t="s">
        <v>766</v>
      </c>
      <c r="C41" s="200">
        <v>2013</v>
      </c>
      <c r="D41" s="194"/>
      <c r="E41" s="201" t="s">
        <v>172</v>
      </c>
      <c r="F41" s="200">
        <v>2011</v>
      </c>
      <c r="G41" s="200" t="s">
        <v>631</v>
      </c>
      <c r="H41" s="194" t="s">
        <v>159</v>
      </c>
      <c r="I41" s="194" t="s">
        <v>1014</v>
      </c>
      <c r="J41" s="202" t="s">
        <v>1013</v>
      </c>
      <c r="K41" s="202" t="s">
        <v>1096</v>
      </c>
      <c r="L41" s="200" t="s">
        <v>978</v>
      </c>
      <c r="M41" s="194"/>
      <c r="N41" s="194"/>
      <c r="O41" s="194" t="s">
        <v>977</v>
      </c>
      <c r="P41" s="194"/>
      <c r="Q41" s="194"/>
      <c r="R41" s="194"/>
      <c r="S41" s="194"/>
      <c r="T41" s="194"/>
      <c r="U41" s="200">
        <v>0.871</v>
      </c>
      <c r="V41" s="194"/>
      <c r="W41" s="194"/>
      <c r="X41" s="194">
        <f t="shared" si="2"/>
        <v>0.871</v>
      </c>
      <c r="Y41" s="54">
        <v>149</v>
      </c>
      <c r="Z41" s="203" t="str">
        <f t="shared" si="3"/>
        <v>S</v>
      </c>
      <c r="AA41" s="194"/>
      <c r="AB41" s="194"/>
      <c r="AC41" s="194"/>
      <c r="AD41" s="204"/>
      <c r="AE41" s="204"/>
      <c r="AF41" s="204"/>
      <c r="AG41" s="204"/>
      <c r="AH41" s="204"/>
      <c r="AI41" s="204"/>
      <c r="AJ41" s="204"/>
      <c r="AK41" s="204"/>
      <c r="AL41" s="204"/>
    </row>
    <row r="42" spans="1:38" s="45" customFormat="1">
      <c r="A42" s="194"/>
      <c r="B42" s="199" t="s">
        <v>766</v>
      </c>
      <c r="C42" s="200">
        <v>2013</v>
      </c>
      <c r="D42" s="194"/>
      <c r="E42" s="201" t="s">
        <v>172</v>
      </c>
      <c r="F42" s="200">
        <v>2011</v>
      </c>
      <c r="G42" s="200" t="s">
        <v>631</v>
      </c>
      <c r="H42" s="194" t="s">
        <v>159</v>
      </c>
      <c r="I42" s="194" t="s">
        <v>1014</v>
      </c>
      <c r="J42" s="202" t="s">
        <v>1013</v>
      </c>
      <c r="K42" s="202" t="s">
        <v>1096</v>
      </c>
      <c r="L42" s="200" t="s">
        <v>978</v>
      </c>
      <c r="M42" s="194"/>
      <c r="N42" s="194"/>
      <c r="O42" s="194" t="s">
        <v>977</v>
      </c>
      <c r="P42" s="194"/>
      <c r="Q42" s="194"/>
      <c r="R42" s="194"/>
      <c r="S42" s="194"/>
      <c r="T42" s="194"/>
      <c r="U42" s="200">
        <v>0.873</v>
      </c>
      <c r="V42" s="194"/>
      <c r="W42" s="194"/>
      <c r="X42" s="194">
        <f t="shared" si="2"/>
        <v>0.873</v>
      </c>
      <c r="Y42" s="54">
        <v>147.1</v>
      </c>
      <c r="Z42" s="203" t="str">
        <f t="shared" si="3"/>
        <v>S</v>
      </c>
      <c r="AA42" s="66"/>
      <c r="AB42" s="66"/>
      <c r="AC42" s="66"/>
      <c r="AD42" s="172"/>
      <c r="AE42" s="172"/>
      <c r="AF42" s="172"/>
      <c r="AG42" s="172"/>
      <c r="AH42" s="172"/>
      <c r="AI42" s="172"/>
      <c r="AJ42" s="172"/>
      <c r="AK42" s="172"/>
      <c r="AL42" s="172"/>
    </row>
    <row r="43" spans="1:38" s="45" customFormat="1">
      <c r="A43" s="194"/>
      <c r="B43" s="199" t="s">
        <v>766</v>
      </c>
      <c r="C43" s="200">
        <v>2013</v>
      </c>
      <c r="D43" s="194"/>
      <c r="E43" s="201" t="s">
        <v>172</v>
      </c>
      <c r="F43" s="200">
        <v>2011</v>
      </c>
      <c r="G43" s="200" t="s">
        <v>631</v>
      </c>
      <c r="H43" s="194" t="s">
        <v>159</v>
      </c>
      <c r="I43" s="194" t="s">
        <v>1014</v>
      </c>
      <c r="J43" s="202" t="s">
        <v>1013</v>
      </c>
      <c r="K43" s="202" t="s">
        <v>1096</v>
      </c>
      <c r="L43" s="200" t="s">
        <v>978</v>
      </c>
      <c r="M43" s="194"/>
      <c r="N43" s="194"/>
      <c r="O43" s="194" t="s">
        <v>977</v>
      </c>
      <c r="P43" s="194"/>
      <c r="Q43" s="194"/>
      <c r="R43" s="194"/>
      <c r="S43" s="194"/>
      <c r="T43" s="194"/>
      <c r="U43" s="200">
        <v>0.875</v>
      </c>
      <c r="V43" s="194"/>
      <c r="W43" s="194"/>
      <c r="X43" s="194">
        <f t="shared" si="2"/>
        <v>0.875</v>
      </c>
      <c r="Y43" s="54">
        <v>144</v>
      </c>
      <c r="Z43" s="203" t="str">
        <f t="shared" si="3"/>
        <v>S</v>
      </c>
      <c r="AA43" s="66"/>
      <c r="AB43" s="66"/>
      <c r="AC43" s="66"/>
      <c r="AD43" s="172"/>
      <c r="AE43" s="172"/>
      <c r="AF43" s="172"/>
      <c r="AG43" s="172"/>
      <c r="AH43" s="172"/>
      <c r="AI43" s="172"/>
      <c r="AJ43" s="172"/>
      <c r="AK43" s="172"/>
      <c r="AL43" s="172"/>
    </row>
    <row r="44" spans="1:38" s="48" customFormat="1">
      <c r="A44" s="194"/>
      <c r="B44" s="199" t="s">
        <v>766</v>
      </c>
      <c r="C44" s="200">
        <v>2013</v>
      </c>
      <c r="D44" s="194"/>
      <c r="E44" s="201" t="s">
        <v>172</v>
      </c>
      <c r="F44" s="200">
        <v>2011</v>
      </c>
      <c r="G44" s="200" t="s">
        <v>631</v>
      </c>
      <c r="H44" s="194" t="s">
        <v>159</v>
      </c>
      <c r="I44" s="194" t="s">
        <v>1014</v>
      </c>
      <c r="J44" s="202" t="s">
        <v>1013</v>
      </c>
      <c r="K44" s="202" t="s">
        <v>1096</v>
      </c>
      <c r="L44" s="200" t="s">
        <v>978</v>
      </c>
      <c r="M44" s="194"/>
      <c r="N44" s="194"/>
      <c r="O44" s="194" t="s">
        <v>977</v>
      </c>
      <c r="P44" s="194"/>
      <c r="Q44" s="194"/>
      <c r="R44" s="194"/>
      <c r="S44" s="194"/>
      <c r="T44" s="194"/>
      <c r="U44" s="200">
        <v>0.876</v>
      </c>
      <c r="V44" s="194"/>
      <c r="W44" s="194"/>
      <c r="X44" s="194">
        <f t="shared" si="2"/>
        <v>0.876</v>
      </c>
      <c r="Y44" s="54">
        <v>142.5</v>
      </c>
      <c r="Z44" s="203" t="str">
        <f t="shared" si="3"/>
        <v>S</v>
      </c>
      <c r="AA44" s="194" t="s">
        <v>1198</v>
      </c>
      <c r="AB44" s="194" t="s">
        <v>1220</v>
      </c>
      <c r="AC44" s="194"/>
      <c r="AD44" s="204"/>
      <c r="AE44" s="204"/>
      <c r="AF44" s="204"/>
      <c r="AG44" s="204"/>
      <c r="AH44" s="204"/>
      <c r="AI44" s="204"/>
      <c r="AJ44" s="204"/>
      <c r="AK44" s="204"/>
      <c r="AL44" s="204"/>
    </row>
    <row r="45" spans="1:38" s="45" customFormat="1">
      <c r="A45" s="194"/>
      <c r="B45" s="199" t="s">
        <v>766</v>
      </c>
      <c r="C45" s="200">
        <v>2013</v>
      </c>
      <c r="D45" s="194"/>
      <c r="E45" s="201" t="s">
        <v>172</v>
      </c>
      <c r="F45" s="200">
        <v>2011</v>
      </c>
      <c r="G45" s="200" t="s">
        <v>631</v>
      </c>
      <c r="H45" s="194" t="s">
        <v>159</v>
      </c>
      <c r="I45" s="194" t="s">
        <v>1014</v>
      </c>
      <c r="J45" s="202" t="s">
        <v>1013</v>
      </c>
      <c r="K45" s="202" t="s">
        <v>1096</v>
      </c>
      <c r="L45" s="200" t="s">
        <v>978</v>
      </c>
      <c r="M45" s="194"/>
      <c r="N45" s="194"/>
      <c r="O45" s="194" t="s">
        <v>977</v>
      </c>
      <c r="P45" s="194"/>
      <c r="Q45" s="194"/>
      <c r="R45" s="194"/>
      <c r="S45" s="194"/>
      <c r="T45" s="194"/>
      <c r="U45" s="200">
        <v>0.876</v>
      </c>
      <c r="V45" s="194"/>
      <c r="W45" s="194"/>
      <c r="X45" s="194">
        <f t="shared" si="2"/>
        <v>0.876</v>
      </c>
      <c r="Y45" s="54">
        <v>13.1</v>
      </c>
      <c r="Z45" s="203" t="str">
        <f t="shared" si="3"/>
        <v>S</v>
      </c>
      <c r="AA45" s="66">
        <v>143.1</v>
      </c>
      <c r="AB45" s="66" t="s">
        <v>1199</v>
      </c>
      <c r="AC45" s="66"/>
      <c r="AD45" s="172"/>
      <c r="AE45" s="172"/>
      <c r="AF45" s="172"/>
      <c r="AG45" s="172"/>
      <c r="AH45" s="172"/>
      <c r="AI45" s="172"/>
      <c r="AJ45" s="172"/>
      <c r="AK45" s="172"/>
      <c r="AL45" s="172"/>
    </row>
    <row r="46" spans="1:38" s="48" customFormat="1">
      <c r="A46" s="194"/>
      <c r="B46" s="199" t="s">
        <v>766</v>
      </c>
      <c r="C46" s="200">
        <v>2013</v>
      </c>
      <c r="D46" s="194"/>
      <c r="E46" s="201" t="s">
        <v>172</v>
      </c>
      <c r="F46" s="200">
        <v>2011</v>
      </c>
      <c r="G46" s="200" t="s">
        <v>631</v>
      </c>
      <c r="H46" s="194" t="s">
        <v>159</v>
      </c>
      <c r="I46" s="194" t="s">
        <v>1014</v>
      </c>
      <c r="J46" s="202" t="s">
        <v>1013</v>
      </c>
      <c r="K46" s="202" t="s">
        <v>1096</v>
      </c>
      <c r="L46" s="200" t="s">
        <v>978</v>
      </c>
      <c r="M46" s="194"/>
      <c r="N46" s="194"/>
      <c r="O46" s="194" t="s">
        <v>977</v>
      </c>
      <c r="P46" s="194"/>
      <c r="Q46" s="194"/>
      <c r="R46" s="194"/>
      <c r="S46" s="194"/>
      <c r="T46" s="194"/>
      <c r="U46" s="200">
        <v>0.876</v>
      </c>
      <c r="V46" s="194"/>
      <c r="W46" s="194"/>
      <c r="X46" s="194">
        <f t="shared" si="2"/>
        <v>0.876</v>
      </c>
      <c r="Y46" s="54">
        <v>142.69999999999999</v>
      </c>
      <c r="Z46" s="203" t="str">
        <f t="shared" si="3"/>
        <v>S</v>
      </c>
      <c r="AA46" s="194"/>
      <c r="AB46" s="194"/>
      <c r="AC46" s="194"/>
      <c r="AD46" s="204"/>
      <c r="AE46" s="204"/>
      <c r="AF46" s="204"/>
      <c r="AG46" s="204"/>
      <c r="AH46" s="204"/>
      <c r="AI46" s="204"/>
      <c r="AJ46" s="204"/>
      <c r="AK46" s="204"/>
      <c r="AL46" s="204"/>
    </row>
    <row r="47" spans="1:38" s="48" customFormat="1">
      <c r="A47" s="194"/>
      <c r="B47" s="199" t="s">
        <v>766</v>
      </c>
      <c r="C47" s="200">
        <v>2013</v>
      </c>
      <c r="D47" s="194"/>
      <c r="E47" s="201" t="s">
        <v>172</v>
      </c>
      <c r="F47" s="200">
        <v>2011</v>
      </c>
      <c r="G47" s="200" t="s">
        <v>631</v>
      </c>
      <c r="H47" s="194" t="s">
        <v>159</v>
      </c>
      <c r="I47" s="194" t="s">
        <v>1014</v>
      </c>
      <c r="J47" s="202" t="s">
        <v>1013</v>
      </c>
      <c r="K47" s="202" t="s">
        <v>1096</v>
      </c>
      <c r="L47" s="200" t="s">
        <v>978</v>
      </c>
      <c r="M47" s="194"/>
      <c r="N47" s="194"/>
      <c r="O47" s="194" t="s">
        <v>977</v>
      </c>
      <c r="P47" s="194"/>
      <c r="Q47" s="194"/>
      <c r="R47" s="194"/>
      <c r="S47" s="194"/>
      <c r="T47" s="194"/>
      <c r="U47" s="200">
        <v>0.876</v>
      </c>
      <c r="V47" s="194"/>
      <c r="W47" s="194"/>
      <c r="X47" s="194">
        <f t="shared" si="2"/>
        <v>0.876</v>
      </c>
      <c r="Y47" s="54">
        <v>143.1</v>
      </c>
      <c r="Z47" s="203" t="str">
        <f t="shared" si="3"/>
        <v>S</v>
      </c>
      <c r="AA47" s="194"/>
      <c r="AB47" s="194"/>
      <c r="AC47" s="194"/>
      <c r="AD47" s="204"/>
      <c r="AE47" s="204"/>
      <c r="AF47" s="204"/>
      <c r="AG47" s="204"/>
      <c r="AH47" s="204"/>
      <c r="AI47" s="204"/>
      <c r="AJ47" s="204"/>
      <c r="AK47" s="204"/>
      <c r="AL47" s="204"/>
    </row>
    <row r="48" spans="1:38" s="48" customFormat="1">
      <c r="A48" s="194"/>
      <c r="B48" s="199" t="s">
        <v>766</v>
      </c>
      <c r="C48" s="200">
        <v>2013</v>
      </c>
      <c r="D48" s="194"/>
      <c r="E48" s="201" t="s">
        <v>172</v>
      </c>
      <c r="F48" s="200">
        <v>2011</v>
      </c>
      <c r="G48" s="200" t="s">
        <v>631</v>
      </c>
      <c r="H48" s="194" t="s">
        <v>159</v>
      </c>
      <c r="I48" s="194" t="s">
        <v>1014</v>
      </c>
      <c r="J48" s="202" t="s">
        <v>1013</v>
      </c>
      <c r="K48" s="202" t="s">
        <v>1096</v>
      </c>
      <c r="L48" s="200" t="s">
        <v>978</v>
      </c>
      <c r="M48" s="194"/>
      <c r="N48" s="194"/>
      <c r="O48" s="194" t="s">
        <v>977</v>
      </c>
      <c r="P48" s="194"/>
      <c r="Q48" s="194"/>
      <c r="R48" s="194"/>
      <c r="S48" s="194"/>
      <c r="T48" s="194"/>
      <c r="U48" s="200">
        <v>0.878</v>
      </c>
      <c r="V48" s="194"/>
      <c r="W48" s="194"/>
      <c r="X48" s="194">
        <f t="shared" si="2"/>
        <v>0.878</v>
      </c>
      <c r="Y48" s="54">
        <v>140.69999999999999</v>
      </c>
      <c r="Z48" s="203" t="str">
        <f t="shared" si="3"/>
        <v>S</v>
      </c>
      <c r="AA48" s="194"/>
      <c r="AB48" s="194"/>
      <c r="AC48" s="194"/>
      <c r="AD48" s="204"/>
      <c r="AE48" s="204"/>
      <c r="AF48" s="204"/>
      <c r="AG48" s="204"/>
      <c r="AH48" s="204"/>
      <c r="AI48" s="204"/>
      <c r="AJ48" s="204"/>
      <c r="AK48" s="204"/>
      <c r="AL48" s="204"/>
    </row>
    <row r="49" spans="1:38" s="48" customFormat="1">
      <c r="A49" s="194"/>
      <c r="B49" s="199" t="s">
        <v>766</v>
      </c>
      <c r="C49" s="200">
        <v>2013</v>
      </c>
      <c r="D49" s="194"/>
      <c r="E49" s="201" t="s">
        <v>172</v>
      </c>
      <c r="F49" s="200">
        <v>2011</v>
      </c>
      <c r="G49" s="200" t="s">
        <v>631</v>
      </c>
      <c r="H49" s="194" t="s">
        <v>159</v>
      </c>
      <c r="I49" s="194" t="s">
        <v>1014</v>
      </c>
      <c r="J49" s="202" t="s">
        <v>1013</v>
      </c>
      <c r="K49" s="202" t="s">
        <v>1096</v>
      </c>
      <c r="L49" s="200" t="s">
        <v>978</v>
      </c>
      <c r="M49" s="194"/>
      <c r="N49" s="194"/>
      <c r="O49" s="194" t="s">
        <v>977</v>
      </c>
      <c r="P49" s="194"/>
      <c r="Q49" s="194"/>
      <c r="R49" s="194"/>
      <c r="S49" s="194"/>
      <c r="T49" s="194"/>
      <c r="U49" s="200">
        <v>0.879</v>
      </c>
      <c r="V49" s="194"/>
      <c r="W49" s="194"/>
      <c r="X49" s="194">
        <f t="shared" si="2"/>
        <v>0.879</v>
      </c>
      <c r="Y49" s="54">
        <v>139.5</v>
      </c>
      <c r="Z49" s="203" t="str">
        <f t="shared" si="3"/>
        <v>S</v>
      </c>
      <c r="AA49" s="194"/>
      <c r="AB49" s="194"/>
      <c r="AC49" s="194"/>
      <c r="AD49" s="204"/>
      <c r="AE49" s="204"/>
      <c r="AF49" s="204"/>
      <c r="AG49" s="204"/>
      <c r="AH49" s="204"/>
      <c r="AI49" s="204"/>
      <c r="AJ49" s="204"/>
      <c r="AK49" s="204"/>
      <c r="AL49" s="204"/>
    </row>
    <row r="50" spans="1:38" s="48" customFormat="1">
      <c r="A50" s="194"/>
      <c r="B50" s="199" t="s">
        <v>766</v>
      </c>
      <c r="C50" s="200">
        <v>2013</v>
      </c>
      <c r="D50" s="194"/>
      <c r="E50" s="201" t="s">
        <v>172</v>
      </c>
      <c r="F50" s="200">
        <v>2011</v>
      </c>
      <c r="G50" s="200" t="s">
        <v>631</v>
      </c>
      <c r="H50" s="194" t="s">
        <v>159</v>
      </c>
      <c r="I50" s="194" t="s">
        <v>1014</v>
      </c>
      <c r="J50" s="202" t="s">
        <v>1013</v>
      </c>
      <c r="K50" s="202" t="s">
        <v>1096</v>
      </c>
      <c r="L50" s="200" t="s">
        <v>978</v>
      </c>
      <c r="M50" s="194"/>
      <c r="N50" s="194"/>
      <c r="O50" s="194" t="s">
        <v>977</v>
      </c>
      <c r="P50" s="194"/>
      <c r="Q50" s="194"/>
      <c r="R50" s="194"/>
      <c r="S50" s="194"/>
      <c r="T50" s="194"/>
      <c r="U50" s="200">
        <v>0.88500000000000001</v>
      </c>
      <c r="V50" s="194"/>
      <c r="W50" s="194"/>
      <c r="X50" s="194">
        <f t="shared" si="2"/>
        <v>0.88500000000000001</v>
      </c>
      <c r="Y50" s="54">
        <v>132.9</v>
      </c>
      <c r="Z50" s="203" t="str">
        <f t="shared" si="3"/>
        <v>S</v>
      </c>
      <c r="AA50" s="194"/>
      <c r="AB50" s="194"/>
      <c r="AC50" s="194"/>
      <c r="AD50" s="204"/>
      <c r="AE50" s="204"/>
      <c r="AF50" s="204"/>
      <c r="AG50" s="204"/>
      <c r="AH50" s="204"/>
      <c r="AI50" s="204"/>
      <c r="AJ50" s="204"/>
      <c r="AK50" s="204"/>
      <c r="AL50" s="204"/>
    </row>
    <row r="51" spans="1:38" s="45" customFormat="1">
      <c r="A51" s="194"/>
      <c r="B51" s="199" t="s">
        <v>766</v>
      </c>
      <c r="C51" s="200">
        <v>2013</v>
      </c>
      <c r="D51" s="194"/>
      <c r="E51" s="201" t="s">
        <v>172</v>
      </c>
      <c r="F51" s="200">
        <v>2011</v>
      </c>
      <c r="G51" s="200" t="s">
        <v>631</v>
      </c>
      <c r="H51" s="194" t="s">
        <v>159</v>
      </c>
      <c r="I51" s="194" t="s">
        <v>1014</v>
      </c>
      <c r="J51" s="202" t="s">
        <v>1013</v>
      </c>
      <c r="K51" s="202" t="s">
        <v>1096</v>
      </c>
      <c r="L51" s="200" t="s">
        <v>978</v>
      </c>
      <c r="M51" s="194"/>
      <c r="N51" s="194"/>
      <c r="O51" s="194" t="s">
        <v>977</v>
      </c>
      <c r="P51" s="194"/>
      <c r="Q51" s="194"/>
      <c r="R51" s="194"/>
      <c r="S51" s="194"/>
      <c r="T51" s="194"/>
      <c r="U51" s="200">
        <v>0.88600000000000001</v>
      </c>
      <c r="V51" s="194"/>
      <c r="W51" s="194"/>
      <c r="X51" s="194">
        <f t="shared" si="2"/>
        <v>0.88600000000000001</v>
      </c>
      <c r="Y51" s="54">
        <v>131.30000000000001</v>
      </c>
      <c r="Z51" s="203" t="str">
        <f t="shared" si="3"/>
        <v>S</v>
      </c>
      <c r="AA51" s="66"/>
      <c r="AB51" s="66"/>
      <c r="AC51" s="66"/>
      <c r="AD51" s="172"/>
      <c r="AE51" s="172"/>
      <c r="AF51" s="172"/>
      <c r="AG51" s="172"/>
      <c r="AH51" s="172"/>
      <c r="AI51" s="172"/>
      <c r="AJ51" s="172"/>
      <c r="AK51" s="172"/>
      <c r="AL51" s="172"/>
    </row>
    <row r="52" spans="1:38" s="45" customFormat="1">
      <c r="A52" s="194"/>
      <c r="B52" s="199" t="s">
        <v>766</v>
      </c>
      <c r="C52" s="200">
        <v>2013</v>
      </c>
      <c r="D52" s="194"/>
      <c r="E52" s="201" t="s">
        <v>172</v>
      </c>
      <c r="F52" s="200">
        <v>2011</v>
      </c>
      <c r="G52" s="200" t="s">
        <v>631</v>
      </c>
      <c r="H52" s="194" t="s">
        <v>159</v>
      </c>
      <c r="I52" s="194" t="s">
        <v>1014</v>
      </c>
      <c r="J52" s="202" t="s">
        <v>1013</v>
      </c>
      <c r="K52" s="202" t="s">
        <v>1096</v>
      </c>
      <c r="L52" s="200" t="s">
        <v>978</v>
      </c>
      <c r="M52" s="194"/>
      <c r="N52" s="194"/>
      <c r="O52" s="194" t="s">
        <v>977</v>
      </c>
      <c r="P52" s="194"/>
      <c r="Q52" s="194"/>
      <c r="R52" s="194"/>
      <c r="S52" s="194"/>
      <c r="T52" s="194"/>
      <c r="U52" s="200">
        <v>0.88900000000000001</v>
      </c>
      <c r="V52" s="194"/>
      <c r="W52" s="194"/>
      <c r="X52" s="194">
        <f t="shared" si="2"/>
        <v>0.88900000000000001</v>
      </c>
      <c r="Y52" s="54">
        <v>127.5</v>
      </c>
      <c r="Z52" s="203" t="str">
        <f t="shared" si="3"/>
        <v>S</v>
      </c>
      <c r="AA52" s="66"/>
      <c r="AB52" s="66"/>
      <c r="AC52" s="66"/>
      <c r="AD52" s="172"/>
      <c r="AE52" s="172"/>
      <c r="AF52" s="172"/>
      <c r="AG52" s="172"/>
      <c r="AH52" s="172"/>
      <c r="AI52" s="172"/>
      <c r="AJ52" s="172"/>
      <c r="AK52" s="172"/>
      <c r="AL52" s="172"/>
    </row>
    <row r="53" spans="1:38" s="45" customFormat="1">
      <c r="A53" s="194"/>
      <c r="B53" s="199" t="s">
        <v>766</v>
      </c>
      <c r="C53" s="200">
        <v>2013</v>
      </c>
      <c r="D53" s="194"/>
      <c r="E53" s="201" t="s">
        <v>172</v>
      </c>
      <c r="F53" s="200">
        <v>2011</v>
      </c>
      <c r="G53" s="200" t="s">
        <v>631</v>
      </c>
      <c r="H53" s="194" t="s">
        <v>159</v>
      </c>
      <c r="I53" s="194" t="s">
        <v>1014</v>
      </c>
      <c r="J53" s="202" t="s">
        <v>1013</v>
      </c>
      <c r="K53" s="202" t="s">
        <v>1096</v>
      </c>
      <c r="L53" s="200" t="s">
        <v>978</v>
      </c>
      <c r="M53" s="194"/>
      <c r="N53" s="194"/>
      <c r="O53" s="194" t="s">
        <v>977</v>
      </c>
      <c r="P53" s="194"/>
      <c r="Q53" s="194"/>
      <c r="R53" s="194"/>
      <c r="S53" s="194"/>
      <c r="T53" s="194"/>
      <c r="U53" s="200">
        <v>0.89500000000000002</v>
      </c>
      <c r="V53" s="194"/>
      <c r="W53" s="194"/>
      <c r="X53" s="194">
        <f t="shared" si="2"/>
        <v>0.89500000000000002</v>
      </c>
      <c r="Y53" s="54">
        <v>121.4</v>
      </c>
      <c r="Z53" s="203" t="str">
        <f t="shared" si="3"/>
        <v>S</v>
      </c>
      <c r="AA53" s="66"/>
      <c r="AB53" s="66"/>
      <c r="AC53" s="66"/>
      <c r="AD53" s="172"/>
      <c r="AE53" s="172"/>
      <c r="AF53" s="172"/>
      <c r="AG53" s="172"/>
      <c r="AH53" s="172"/>
      <c r="AI53" s="172"/>
      <c r="AJ53" s="172"/>
      <c r="AK53" s="172"/>
      <c r="AL53" s="172"/>
    </row>
    <row r="54" spans="1:38" s="45" customFormat="1">
      <c r="A54" s="194"/>
      <c r="B54" s="199" t="s">
        <v>766</v>
      </c>
      <c r="C54" s="200">
        <v>2013</v>
      </c>
      <c r="D54" s="194"/>
      <c r="E54" s="201" t="s">
        <v>172</v>
      </c>
      <c r="F54" s="200">
        <v>2011</v>
      </c>
      <c r="G54" s="200" t="s">
        <v>631</v>
      </c>
      <c r="H54" s="194" t="s">
        <v>159</v>
      </c>
      <c r="I54" s="194" t="s">
        <v>1014</v>
      </c>
      <c r="J54" s="202" t="s">
        <v>1013</v>
      </c>
      <c r="K54" s="202" t="s">
        <v>1096</v>
      </c>
      <c r="L54" s="200" t="s">
        <v>978</v>
      </c>
      <c r="M54" s="194"/>
      <c r="N54" s="194"/>
      <c r="O54" s="194" t="s">
        <v>977</v>
      </c>
      <c r="P54" s="194"/>
      <c r="Q54" s="194"/>
      <c r="R54" s="194"/>
      <c r="S54" s="194"/>
      <c r="T54" s="194"/>
      <c r="U54" s="200">
        <v>0.89700000000000002</v>
      </c>
      <c r="V54" s="194"/>
      <c r="W54" s="194"/>
      <c r="X54" s="194">
        <f t="shared" si="2"/>
        <v>0.89700000000000002</v>
      </c>
      <c r="Y54" s="54">
        <v>119.2</v>
      </c>
      <c r="Z54" s="203" t="str">
        <f t="shared" si="3"/>
        <v>S</v>
      </c>
      <c r="AA54" s="66"/>
      <c r="AB54" s="66"/>
      <c r="AC54" s="66"/>
      <c r="AD54" s="172"/>
      <c r="AE54" s="172"/>
      <c r="AF54" s="172"/>
      <c r="AG54" s="172"/>
      <c r="AH54" s="172"/>
      <c r="AI54" s="172"/>
      <c r="AJ54" s="172"/>
      <c r="AK54" s="172"/>
      <c r="AL54" s="172"/>
    </row>
    <row r="57" spans="1:38">
      <c r="Y57" s="54"/>
    </row>
  </sheetData>
  <sortState ref="A2:Z53">
    <sortCondition ref="A2:A53"/>
    <sortCondition ref="B2:B53"/>
    <sortCondition ref="O2:O53"/>
    <sortCondition ref="X2:X53"/>
  </sortState>
  <dataValidations count="1">
    <dataValidation showInputMessage="1" showErrorMessage="1" sqref="A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selection activeCell="A79" sqref="A79"/>
    </sheetView>
  </sheetViews>
  <sheetFormatPr baseColWidth="10" defaultRowHeight="15" x14ac:dyDescent="0"/>
  <cols>
    <col min="2" max="2" width="18.83203125" customWidth="1"/>
    <col min="3" max="3" width="10.83203125" customWidth="1"/>
    <col min="4" max="4" width="48.5" customWidth="1"/>
    <col min="5" max="11" width="10.83203125" customWidth="1"/>
  </cols>
  <sheetData>
    <row r="1" spans="1:14">
      <c r="L1">
        <f>SUM(L3:L49)</f>
        <v>30</v>
      </c>
      <c r="M1">
        <f>SUM(M3:M49)</f>
        <v>33</v>
      </c>
      <c r="N1">
        <f>SUM(N3:N49)</f>
        <v>20</v>
      </c>
    </row>
    <row r="2" spans="1:14">
      <c r="A2" s="36" t="s">
        <v>0</v>
      </c>
      <c r="B2" s="36" t="s">
        <v>1</v>
      </c>
      <c r="C2" s="37" t="s">
        <v>2</v>
      </c>
      <c r="D2" s="37" t="s">
        <v>3</v>
      </c>
      <c r="E2" s="37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948</v>
      </c>
      <c r="M2" s="36" t="s">
        <v>949</v>
      </c>
      <c r="N2" s="36" t="s">
        <v>950</v>
      </c>
    </row>
    <row r="3" spans="1:14">
      <c r="A3" s="3">
        <v>4</v>
      </c>
      <c r="B3" s="4" t="s">
        <v>16</v>
      </c>
      <c r="C3" s="4">
        <v>1969</v>
      </c>
      <c r="D3" s="4" t="s">
        <v>17</v>
      </c>
      <c r="E3" s="5" t="s">
        <v>18</v>
      </c>
      <c r="F3" s="5" t="s">
        <v>19</v>
      </c>
      <c r="G3" s="6" t="s">
        <v>20</v>
      </c>
      <c r="H3" s="5">
        <v>1968</v>
      </c>
      <c r="I3" s="5" t="s">
        <v>21</v>
      </c>
      <c r="J3" s="5" t="s">
        <v>22</v>
      </c>
      <c r="K3" s="5" t="s">
        <v>23</v>
      </c>
      <c r="L3">
        <v>1</v>
      </c>
      <c r="M3">
        <v>1</v>
      </c>
    </row>
    <row r="4" spans="1:14">
      <c r="A4" s="7">
        <v>26</v>
      </c>
      <c r="B4" s="8" t="s">
        <v>32</v>
      </c>
      <c r="C4" s="9">
        <v>1980</v>
      </c>
      <c r="D4" s="8" t="s">
        <v>33</v>
      </c>
      <c r="E4" s="8" t="s">
        <v>34</v>
      </c>
      <c r="F4" s="9" t="s">
        <v>35</v>
      </c>
      <c r="G4" s="10" t="s">
        <v>36</v>
      </c>
      <c r="H4" s="9">
        <v>1974</v>
      </c>
      <c r="I4" s="9" t="s">
        <v>37</v>
      </c>
      <c r="J4" s="9"/>
      <c r="K4" s="9" t="s">
        <v>38</v>
      </c>
    </row>
    <row r="5" spans="1:14">
      <c r="A5" s="3">
        <v>35</v>
      </c>
      <c r="B5" s="4" t="s">
        <v>45</v>
      </c>
      <c r="C5" s="4">
        <v>1982</v>
      </c>
      <c r="D5" s="4" t="s">
        <v>46</v>
      </c>
      <c r="E5" s="12" t="s">
        <v>47</v>
      </c>
      <c r="F5" s="5" t="s">
        <v>48</v>
      </c>
      <c r="G5" s="6" t="s">
        <v>49</v>
      </c>
      <c r="H5" s="5" t="s">
        <v>50</v>
      </c>
      <c r="I5" s="5" t="s">
        <v>51</v>
      </c>
      <c r="J5" s="5" t="s">
        <v>22</v>
      </c>
      <c r="K5" s="5" t="s">
        <v>23</v>
      </c>
      <c r="L5">
        <v>1</v>
      </c>
      <c r="M5">
        <v>1</v>
      </c>
      <c r="N5">
        <v>1</v>
      </c>
    </row>
    <row r="6" spans="1:14">
      <c r="A6" s="3">
        <v>36</v>
      </c>
      <c r="B6" s="4" t="s">
        <v>45</v>
      </c>
      <c r="C6" s="4">
        <v>1982</v>
      </c>
      <c r="D6" s="4" t="s">
        <v>73</v>
      </c>
      <c r="E6" s="12" t="s">
        <v>74</v>
      </c>
      <c r="F6" s="5" t="s">
        <v>48</v>
      </c>
      <c r="G6" s="6" t="s">
        <v>20</v>
      </c>
      <c r="H6" s="5">
        <v>1982</v>
      </c>
      <c r="I6" s="5" t="s">
        <v>75</v>
      </c>
      <c r="J6" s="5" t="s">
        <v>76</v>
      </c>
      <c r="K6" s="5"/>
      <c r="M6">
        <v>1</v>
      </c>
    </row>
    <row r="7" spans="1:14">
      <c r="A7" s="3">
        <v>37</v>
      </c>
      <c r="B7" s="4" t="s">
        <v>45</v>
      </c>
      <c r="C7" s="4">
        <v>1982</v>
      </c>
      <c r="D7" s="4" t="s">
        <v>92</v>
      </c>
      <c r="E7" s="4" t="s">
        <v>74</v>
      </c>
      <c r="F7" s="5" t="s">
        <v>93</v>
      </c>
      <c r="G7" s="6" t="s">
        <v>49</v>
      </c>
      <c r="H7" s="5">
        <v>1989</v>
      </c>
      <c r="I7" s="5" t="s">
        <v>94</v>
      </c>
      <c r="J7" s="5" t="s">
        <v>22</v>
      </c>
      <c r="K7" s="5" t="s">
        <v>95</v>
      </c>
      <c r="L7">
        <v>1</v>
      </c>
      <c r="M7">
        <v>1</v>
      </c>
    </row>
    <row r="8" spans="1:14">
      <c r="A8" s="3">
        <v>42</v>
      </c>
      <c r="B8" s="4" t="s">
        <v>103</v>
      </c>
      <c r="C8" s="4">
        <v>1984</v>
      </c>
      <c r="D8" s="4" t="s">
        <v>104</v>
      </c>
      <c r="E8" s="12" t="s">
        <v>105</v>
      </c>
      <c r="F8" s="5" t="s">
        <v>106</v>
      </c>
      <c r="G8" s="6" t="s">
        <v>20</v>
      </c>
      <c r="H8" s="5">
        <v>1984</v>
      </c>
      <c r="I8" s="5" t="s">
        <v>107</v>
      </c>
      <c r="J8" s="5" t="s">
        <v>76</v>
      </c>
      <c r="K8" s="5" t="s">
        <v>38</v>
      </c>
      <c r="L8">
        <v>1</v>
      </c>
      <c r="M8">
        <v>1</v>
      </c>
    </row>
    <row r="9" spans="1:14">
      <c r="A9" s="3">
        <v>46</v>
      </c>
      <c r="B9" s="4" t="s">
        <v>45</v>
      </c>
      <c r="C9" s="4">
        <v>1984</v>
      </c>
      <c r="D9" s="4" t="s">
        <v>113</v>
      </c>
      <c r="E9" s="12" t="s">
        <v>114</v>
      </c>
      <c r="F9" s="5" t="s">
        <v>115</v>
      </c>
      <c r="G9" s="6" t="s">
        <v>49</v>
      </c>
      <c r="H9" s="5">
        <v>1983</v>
      </c>
      <c r="I9" s="5" t="s">
        <v>116</v>
      </c>
      <c r="J9" s="5" t="s">
        <v>22</v>
      </c>
      <c r="K9" s="5" t="s">
        <v>95</v>
      </c>
      <c r="L9">
        <v>1</v>
      </c>
      <c r="M9">
        <v>1</v>
      </c>
      <c r="N9">
        <v>1</v>
      </c>
    </row>
    <row r="10" spans="1:14">
      <c r="A10" s="3">
        <v>53</v>
      </c>
      <c r="B10" s="4" t="s">
        <v>135</v>
      </c>
      <c r="C10" s="4">
        <v>1986</v>
      </c>
      <c r="D10" s="4" t="s">
        <v>136</v>
      </c>
      <c r="E10" s="4" t="s">
        <v>137</v>
      </c>
      <c r="F10" s="5" t="s">
        <v>138</v>
      </c>
      <c r="G10" s="6" t="s">
        <v>49</v>
      </c>
      <c r="H10" s="5">
        <v>1986</v>
      </c>
      <c r="I10" s="5" t="s">
        <v>139</v>
      </c>
      <c r="J10" s="5" t="s">
        <v>22</v>
      </c>
      <c r="K10" s="5"/>
    </row>
    <row r="11" spans="1:14">
      <c r="A11" s="3">
        <v>59</v>
      </c>
      <c r="B11" s="15" t="s">
        <v>141</v>
      </c>
      <c r="C11" s="16">
        <v>1988</v>
      </c>
      <c r="D11" s="5" t="s">
        <v>156</v>
      </c>
      <c r="E11" s="15" t="s">
        <v>142</v>
      </c>
      <c r="F11" s="5" t="s">
        <v>143</v>
      </c>
      <c r="G11" s="6" t="s">
        <v>144</v>
      </c>
      <c r="H11" s="14">
        <v>32058</v>
      </c>
      <c r="I11" s="5" t="s">
        <v>157</v>
      </c>
      <c r="J11" s="5" t="s">
        <v>158</v>
      </c>
      <c r="K11" s="5" t="s">
        <v>159</v>
      </c>
    </row>
    <row r="12" spans="1:14">
      <c r="A12" s="3">
        <v>61</v>
      </c>
      <c r="B12" s="4" t="s">
        <v>45</v>
      </c>
      <c r="C12" s="4">
        <v>1988</v>
      </c>
      <c r="D12" s="4" t="s">
        <v>161</v>
      </c>
      <c r="E12" s="12" t="s">
        <v>162</v>
      </c>
      <c r="F12" s="5" t="s">
        <v>163</v>
      </c>
      <c r="G12" s="6" t="s">
        <v>49</v>
      </c>
      <c r="H12" s="5">
        <v>1988</v>
      </c>
      <c r="I12" s="5" t="s">
        <v>139</v>
      </c>
      <c r="J12" s="5"/>
      <c r="K12" s="5"/>
    </row>
    <row r="13" spans="1:14">
      <c r="A13" s="3">
        <v>63</v>
      </c>
      <c r="B13" s="4" t="s">
        <v>168</v>
      </c>
      <c r="C13" s="4">
        <v>1989</v>
      </c>
      <c r="D13" s="4" t="s">
        <v>169</v>
      </c>
      <c r="E13" s="4" t="s">
        <v>170</v>
      </c>
      <c r="F13" s="5" t="s">
        <v>171</v>
      </c>
      <c r="G13" s="25" t="s">
        <v>172</v>
      </c>
      <c r="H13" s="22">
        <v>32367</v>
      </c>
      <c r="I13" s="5" t="s">
        <v>185</v>
      </c>
      <c r="J13" s="5"/>
      <c r="K13" s="23" t="s">
        <v>151</v>
      </c>
      <c r="L13">
        <v>1</v>
      </c>
      <c r="M13">
        <v>1</v>
      </c>
      <c r="N13">
        <v>1</v>
      </c>
    </row>
    <row r="14" spans="1:14">
      <c r="A14" s="3">
        <v>66</v>
      </c>
      <c r="B14" s="4" t="s">
        <v>45</v>
      </c>
      <c r="C14" s="4">
        <v>1989</v>
      </c>
      <c r="D14" s="4" t="s">
        <v>187</v>
      </c>
      <c r="E14" s="12" t="s">
        <v>188</v>
      </c>
      <c r="F14" s="5" t="s">
        <v>189</v>
      </c>
      <c r="G14" s="6" t="s">
        <v>49</v>
      </c>
      <c r="H14" s="14">
        <v>31593</v>
      </c>
      <c r="I14" s="5" t="s">
        <v>190</v>
      </c>
      <c r="J14" s="5" t="s">
        <v>145</v>
      </c>
      <c r="K14" s="5" t="s">
        <v>146</v>
      </c>
      <c r="L14">
        <v>1</v>
      </c>
      <c r="M14">
        <v>1</v>
      </c>
      <c r="N14">
        <v>1</v>
      </c>
    </row>
    <row r="15" spans="1:14">
      <c r="A15" s="3">
        <v>80</v>
      </c>
      <c r="B15" s="5" t="s">
        <v>141</v>
      </c>
      <c r="C15" s="26">
        <v>1991</v>
      </c>
      <c r="D15" s="21" t="s">
        <v>201</v>
      </c>
      <c r="E15" s="21" t="s">
        <v>202</v>
      </c>
      <c r="F15" s="5" t="s">
        <v>203</v>
      </c>
      <c r="G15" s="6" t="s">
        <v>204</v>
      </c>
      <c r="H15" s="5">
        <v>1989</v>
      </c>
      <c r="I15" s="5" t="s">
        <v>220</v>
      </c>
      <c r="J15" s="5"/>
      <c r="K15" s="5" t="s">
        <v>211</v>
      </c>
      <c r="L15">
        <v>1</v>
      </c>
      <c r="M15">
        <v>1</v>
      </c>
      <c r="N15">
        <v>1</v>
      </c>
    </row>
    <row r="16" spans="1:14">
      <c r="A16" s="3">
        <v>86</v>
      </c>
      <c r="B16" s="4" t="s">
        <v>223</v>
      </c>
      <c r="C16" s="4">
        <v>1991</v>
      </c>
      <c r="D16" s="4" t="s">
        <v>224</v>
      </c>
      <c r="E16" s="12" t="s">
        <v>225</v>
      </c>
      <c r="F16" s="5" t="s">
        <v>226</v>
      </c>
      <c r="G16" s="6" t="s">
        <v>20</v>
      </c>
      <c r="H16" s="14">
        <v>32857</v>
      </c>
      <c r="I16" s="5" t="s">
        <v>227</v>
      </c>
      <c r="J16" s="5" t="s">
        <v>145</v>
      </c>
      <c r="K16" s="5" t="s">
        <v>146</v>
      </c>
      <c r="L16">
        <v>1</v>
      </c>
      <c r="M16">
        <v>1</v>
      </c>
    </row>
    <row r="17" spans="1:14">
      <c r="A17" s="3">
        <v>87</v>
      </c>
      <c r="B17" s="4" t="s">
        <v>236</v>
      </c>
      <c r="C17" s="4">
        <v>1992</v>
      </c>
      <c r="D17" s="4" t="s">
        <v>237</v>
      </c>
      <c r="E17" s="4" t="s">
        <v>238</v>
      </c>
      <c r="F17" s="5" t="s">
        <v>239</v>
      </c>
      <c r="G17" s="6" t="s">
        <v>172</v>
      </c>
      <c r="H17" s="14">
        <v>32023</v>
      </c>
      <c r="I17" s="5" t="s">
        <v>240</v>
      </c>
      <c r="J17" s="5" t="s">
        <v>22</v>
      </c>
      <c r="K17" s="5" t="s">
        <v>95</v>
      </c>
    </row>
    <row r="18" spans="1:14">
      <c r="A18" s="3">
        <v>88</v>
      </c>
      <c r="B18" s="27" t="s">
        <v>241</v>
      </c>
      <c r="C18" s="28">
        <v>1992</v>
      </c>
      <c r="D18" s="27" t="s">
        <v>242</v>
      </c>
      <c r="E18" s="27" t="s">
        <v>243</v>
      </c>
      <c r="F18" s="5" t="s">
        <v>244</v>
      </c>
      <c r="G18" s="6" t="s">
        <v>204</v>
      </c>
      <c r="H18" s="5">
        <v>1986</v>
      </c>
      <c r="I18" s="5" t="s">
        <v>213</v>
      </c>
      <c r="J18" s="5"/>
      <c r="K18" s="5" t="s">
        <v>146</v>
      </c>
      <c r="L18">
        <v>1</v>
      </c>
      <c r="M18">
        <v>1</v>
      </c>
      <c r="N18">
        <v>1</v>
      </c>
    </row>
    <row r="19" spans="1:14">
      <c r="A19" s="3">
        <v>91</v>
      </c>
      <c r="B19" s="20" t="s">
        <v>45</v>
      </c>
      <c r="C19" s="5">
        <v>1992</v>
      </c>
      <c r="D19" s="12" t="s">
        <v>267</v>
      </c>
      <c r="E19" s="12" t="s">
        <v>268</v>
      </c>
      <c r="F19" s="5" t="s">
        <v>269</v>
      </c>
      <c r="G19" s="6" t="s">
        <v>270</v>
      </c>
      <c r="H19" s="5">
        <v>1992</v>
      </c>
      <c r="I19" s="5"/>
      <c r="J19" s="5"/>
      <c r="K19" s="5"/>
      <c r="L19">
        <v>1</v>
      </c>
      <c r="M19">
        <v>1</v>
      </c>
    </row>
    <row r="20" spans="1:14">
      <c r="A20" s="3">
        <v>94</v>
      </c>
      <c r="B20" s="4" t="s">
        <v>45</v>
      </c>
      <c r="C20" s="4">
        <v>1992</v>
      </c>
      <c r="D20" s="4" t="s">
        <v>276</v>
      </c>
      <c r="E20" s="12" t="s">
        <v>277</v>
      </c>
      <c r="F20" s="5" t="s">
        <v>278</v>
      </c>
      <c r="G20" s="6" t="s">
        <v>49</v>
      </c>
      <c r="H20" s="5">
        <v>1991</v>
      </c>
      <c r="I20" s="5" t="s">
        <v>279</v>
      </c>
      <c r="J20" s="5"/>
      <c r="K20" s="5" t="s">
        <v>211</v>
      </c>
      <c r="L20">
        <v>1</v>
      </c>
      <c r="M20">
        <v>1</v>
      </c>
      <c r="N20">
        <v>1</v>
      </c>
    </row>
    <row r="21" spans="1:14">
      <c r="A21" s="3">
        <v>101</v>
      </c>
      <c r="B21" s="27" t="s">
        <v>298</v>
      </c>
      <c r="C21" s="5">
        <v>1994</v>
      </c>
      <c r="D21" s="27" t="s">
        <v>299</v>
      </c>
      <c r="E21" s="27" t="s">
        <v>300</v>
      </c>
      <c r="F21" s="5" t="s">
        <v>93</v>
      </c>
      <c r="G21" s="6" t="s">
        <v>172</v>
      </c>
      <c r="H21" s="28">
        <v>1994</v>
      </c>
      <c r="I21" s="5" t="s">
        <v>301</v>
      </c>
      <c r="J21" s="5"/>
      <c r="K21" s="5" t="s">
        <v>302</v>
      </c>
      <c r="L21">
        <v>1</v>
      </c>
      <c r="M21">
        <v>1</v>
      </c>
      <c r="N21">
        <v>1</v>
      </c>
    </row>
    <row r="22" spans="1:14">
      <c r="A22" s="7">
        <v>103</v>
      </c>
      <c r="B22" s="13" t="s">
        <v>311</v>
      </c>
      <c r="C22" s="13">
        <v>1994</v>
      </c>
      <c r="D22" s="13" t="s">
        <v>312</v>
      </c>
      <c r="E22" s="13" t="s">
        <v>313</v>
      </c>
      <c r="F22" s="9" t="s">
        <v>314</v>
      </c>
      <c r="G22" s="10" t="s">
        <v>20</v>
      </c>
      <c r="H22" s="9">
        <v>1995</v>
      </c>
      <c r="I22" s="9"/>
      <c r="J22" s="9"/>
      <c r="K22" s="9"/>
      <c r="L22">
        <v>1</v>
      </c>
      <c r="M22">
        <v>1</v>
      </c>
      <c r="N22">
        <v>1</v>
      </c>
    </row>
    <row r="23" spans="1:14">
      <c r="A23" s="3">
        <v>106</v>
      </c>
      <c r="B23" s="4" t="s">
        <v>311</v>
      </c>
      <c r="C23" s="4">
        <v>1995</v>
      </c>
      <c r="D23" s="4" t="s">
        <v>318</v>
      </c>
      <c r="E23" s="4" t="s">
        <v>319</v>
      </c>
      <c r="F23" s="5" t="s">
        <v>314</v>
      </c>
      <c r="G23" s="6" t="s">
        <v>320</v>
      </c>
      <c r="H23" s="5">
        <v>1995</v>
      </c>
      <c r="I23" s="5" t="s">
        <v>321</v>
      </c>
      <c r="J23" s="5" t="s">
        <v>158</v>
      </c>
      <c r="K23" s="5" t="s">
        <v>159</v>
      </c>
    </row>
    <row r="24" spans="1:14">
      <c r="A24" s="3">
        <v>112</v>
      </c>
      <c r="B24" s="20" t="s">
        <v>322</v>
      </c>
      <c r="C24" s="20">
        <v>1996</v>
      </c>
      <c r="D24" s="20" t="s">
        <v>323</v>
      </c>
      <c r="E24" s="20" t="s">
        <v>324</v>
      </c>
      <c r="F24" s="5" t="s">
        <v>325</v>
      </c>
      <c r="G24" s="6" t="s">
        <v>20</v>
      </c>
      <c r="H24" s="5">
        <v>1996</v>
      </c>
      <c r="I24" s="5" t="s">
        <v>326</v>
      </c>
      <c r="J24" s="5" t="s">
        <v>158</v>
      </c>
      <c r="K24" s="5" t="s">
        <v>159</v>
      </c>
      <c r="L24">
        <v>1</v>
      </c>
      <c r="M24">
        <v>1</v>
      </c>
      <c r="N24">
        <v>1</v>
      </c>
    </row>
    <row r="25" spans="1:14">
      <c r="A25" s="3">
        <v>118</v>
      </c>
      <c r="B25" s="27" t="s">
        <v>399</v>
      </c>
      <c r="C25" s="28">
        <v>1999</v>
      </c>
      <c r="D25" s="27" t="s">
        <v>400</v>
      </c>
      <c r="E25" s="27" t="s">
        <v>401</v>
      </c>
      <c r="F25" s="5" t="s">
        <v>402</v>
      </c>
      <c r="G25" s="6" t="s">
        <v>20</v>
      </c>
      <c r="H25" s="5">
        <v>1999</v>
      </c>
      <c r="I25" s="5" t="s">
        <v>326</v>
      </c>
      <c r="J25" s="5"/>
      <c r="K25" s="5" t="s">
        <v>159</v>
      </c>
      <c r="L25">
        <v>1</v>
      </c>
      <c r="M25">
        <v>1</v>
      </c>
      <c r="N25">
        <v>1</v>
      </c>
    </row>
    <row r="26" spans="1:14">
      <c r="A26" s="3">
        <v>119</v>
      </c>
      <c r="B26" s="4" t="s">
        <v>399</v>
      </c>
      <c r="C26" s="4">
        <v>2000</v>
      </c>
      <c r="D26" s="4" t="s">
        <v>407</v>
      </c>
      <c r="E26" s="4" t="s">
        <v>408</v>
      </c>
      <c r="F26" s="5" t="s">
        <v>409</v>
      </c>
      <c r="G26" s="6" t="s">
        <v>410</v>
      </c>
      <c r="H26" s="5" t="s">
        <v>424</v>
      </c>
      <c r="I26" s="5" t="s">
        <v>425</v>
      </c>
      <c r="J26" s="5" t="s">
        <v>412</v>
      </c>
      <c r="K26" s="5" t="s">
        <v>264</v>
      </c>
      <c r="L26">
        <v>1</v>
      </c>
      <c r="M26">
        <v>1</v>
      </c>
      <c r="N26">
        <v>1</v>
      </c>
    </row>
    <row r="27" spans="1:14">
      <c r="A27" s="3">
        <v>121</v>
      </c>
      <c r="B27" s="4" t="s">
        <v>427</v>
      </c>
      <c r="C27" s="4">
        <v>2002</v>
      </c>
      <c r="D27" s="4" t="s">
        <v>428</v>
      </c>
      <c r="E27" s="4" t="s">
        <v>429</v>
      </c>
      <c r="F27" s="5" t="s">
        <v>325</v>
      </c>
      <c r="G27" s="6" t="s">
        <v>430</v>
      </c>
      <c r="H27" s="5">
        <v>2002</v>
      </c>
      <c r="I27" s="5" t="s">
        <v>431</v>
      </c>
      <c r="J27" s="5" t="s">
        <v>158</v>
      </c>
      <c r="K27" s="5" t="s">
        <v>159</v>
      </c>
      <c r="L27">
        <v>1</v>
      </c>
      <c r="M27">
        <v>1</v>
      </c>
      <c r="N27">
        <v>1</v>
      </c>
    </row>
    <row r="28" spans="1:14">
      <c r="A28" s="3">
        <v>130</v>
      </c>
      <c r="B28" s="4" t="s">
        <v>32</v>
      </c>
      <c r="C28" s="4">
        <v>1982</v>
      </c>
      <c r="D28" s="4" t="s">
        <v>470</v>
      </c>
      <c r="E28" s="4" t="s">
        <v>471</v>
      </c>
      <c r="F28" s="5" t="s">
        <v>472</v>
      </c>
      <c r="G28" s="6" t="s">
        <v>20</v>
      </c>
      <c r="H28" s="4">
        <v>1982</v>
      </c>
      <c r="I28" s="5"/>
      <c r="J28" s="5" t="s">
        <v>76</v>
      </c>
      <c r="K28" s="5" t="s">
        <v>38</v>
      </c>
      <c r="L28">
        <v>1</v>
      </c>
      <c r="M28">
        <v>1</v>
      </c>
    </row>
    <row r="29" spans="1:14">
      <c r="A29" s="3">
        <v>134</v>
      </c>
      <c r="B29" s="5" t="s">
        <v>322</v>
      </c>
      <c r="C29" s="16">
        <v>1999</v>
      </c>
      <c r="D29" s="15" t="s">
        <v>493</v>
      </c>
      <c r="E29" s="15" t="s">
        <v>494</v>
      </c>
      <c r="F29" s="5" t="s">
        <v>409</v>
      </c>
      <c r="G29" s="6" t="s">
        <v>410</v>
      </c>
      <c r="H29" s="14">
        <v>35534</v>
      </c>
      <c r="I29" s="5" t="s">
        <v>495</v>
      </c>
      <c r="J29" s="5" t="s">
        <v>76</v>
      </c>
      <c r="K29" s="5" t="s">
        <v>41</v>
      </c>
      <c r="L29">
        <v>1</v>
      </c>
      <c r="M29">
        <v>1</v>
      </c>
      <c r="N29">
        <v>1</v>
      </c>
    </row>
    <row r="30" spans="1:14">
      <c r="A30" s="3">
        <v>139</v>
      </c>
      <c r="B30" s="4" t="s">
        <v>141</v>
      </c>
      <c r="C30" s="4">
        <v>1990</v>
      </c>
      <c r="D30" s="15" t="s">
        <v>500</v>
      </c>
      <c r="E30" s="15" t="s">
        <v>501</v>
      </c>
      <c r="F30" s="5"/>
      <c r="G30" s="6" t="s">
        <v>172</v>
      </c>
      <c r="H30" s="14">
        <v>32776</v>
      </c>
      <c r="I30" s="5" t="s">
        <v>220</v>
      </c>
      <c r="J30" s="5"/>
      <c r="K30" s="5" t="s">
        <v>519</v>
      </c>
      <c r="L30">
        <v>1</v>
      </c>
      <c r="M30">
        <v>1</v>
      </c>
      <c r="N30">
        <v>1</v>
      </c>
    </row>
    <row r="31" spans="1:14">
      <c r="A31" s="3">
        <v>142</v>
      </c>
      <c r="B31" s="15" t="s">
        <v>522</v>
      </c>
      <c r="C31" s="5">
        <v>2007</v>
      </c>
      <c r="D31" s="12" t="s">
        <v>523</v>
      </c>
      <c r="E31" s="15" t="s">
        <v>524</v>
      </c>
      <c r="F31" s="5" t="s">
        <v>525</v>
      </c>
      <c r="G31" s="6" t="s">
        <v>49</v>
      </c>
      <c r="H31" s="5">
        <v>2007</v>
      </c>
      <c r="I31" s="5" t="s">
        <v>41</v>
      </c>
      <c r="J31" s="5" t="s">
        <v>76</v>
      </c>
      <c r="K31" s="5" t="s">
        <v>41</v>
      </c>
      <c r="L31">
        <v>1</v>
      </c>
      <c r="M31">
        <v>1</v>
      </c>
    </row>
    <row r="32" spans="1:14">
      <c r="A32" s="3">
        <v>143</v>
      </c>
      <c r="B32" s="15" t="s">
        <v>529</v>
      </c>
      <c r="C32" s="5">
        <v>2002</v>
      </c>
      <c r="D32" s="12" t="s">
        <v>530</v>
      </c>
      <c r="E32" s="15" t="s">
        <v>531</v>
      </c>
      <c r="F32" s="5" t="s">
        <v>532</v>
      </c>
      <c r="G32" s="6" t="s">
        <v>20</v>
      </c>
      <c r="H32" s="5">
        <v>2002</v>
      </c>
      <c r="I32" s="5" t="s">
        <v>534</v>
      </c>
      <c r="J32" s="5" t="s">
        <v>76</v>
      </c>
      <c r="K32" s="5" t="s">
        <v>41</v>
      </c>
    </row>
    <row r="33" spans="1:15">
      <c r="A33" s="3">
        <v>144</v>
      </c>
      <c r="B33" s="4" t="s">
        <v>103</v>
      </c>
      <c r="C33" s="4">
        <v>1980</v>
      </c>
      <c r="D33" s="4" t="s">
        <v>535</v>
      </c>
      <c r="E33" s="15" t="s">
        <v>536</v>
      </c>
      <c r="F33" s="5" t="s">
        <v>106</v>
      </c>
      <c r="G33" s="6" t="s">
        <v>20</v>
      </c>
      <c r="H33" s="5"/>
      <c r="I33" s="5"/>
      <c r="J33" s="5" t="s">
        <v>76</v>
      </c>
      <c r="K33" s="5"/>
    </row>
    <row r="34" spans="1:15">
      <c r="A34" s="3">
        <v>149</v>
      </c>
      <c r="B34" s="4" t="s">
        <v>141</v>
      </c>
      <c r="C34" s="28">
        <v>1990</v>
      </c>
      <c r="D34" s="4" t="s">
        <v>537</v>
      </c>
      <c r="E34" s="15" t="s">
        <v>538</v>
      </c>
      <c r="F34" s="5" t="s">
        <v>539</v>
      </c>
      <c r="G34" s="6" t="s">
        <v>172</v>
      </c>
      <c r="H34" s="5" t="s">
        <v>540</v>
      </c>
      <c r="I34" s="5" t="s">
        <v>541</v>
      </c>
      <c r="J34" s="5" t="s">
        <v>22</v>
      </c>
      <c r="K34" s="5" t="s">
        <v>23</v>
      </c>
    </row>
    <row r="35" spans="1:15">
      <c r="A35" s="3">
        <v>150</v>
      </c>
      <c r="B35" s="4" t="s">
        <v>542</v>
      </c>
      <c r="C35" s="28">
        <v>1970</v>
      </c>
      <c r="D35" s="4" t="s">
        <v>543</v>
      </c>
      <c r="E35" s="15" t="s">
        <v>544</v>
      </c>
      <c r="F35" s="5" t="s">
        <v>545</v>
      </c>
      <c r="G35" s="6" t="s">
        <v>20</v>
      </c>
      <c r="H35" s="5">
        <v>1968</v>
      </c>
      <c r="I35" s="5"/>
      <c r="J35" s="5" t="s">
        <v>22</v>
      </c>
      <c r="K35" s="5"/>
      <c r="L35">
        <v>1</v>
      </c>
      <c r="M35">
        <v>1</v>
      </c>
    </row>
    <row r="36" spans="1:15">
      <c r="A36" s="3">
        <v>151</v>
      </c>
      <c r="B36" s="4" t="s">
        <v>559</v>
      </c>
      <c r="C36" s="28">
        <v>2005</v>
      </c>
      <c r="D36" s="4" t="s">
        <v>560</v>
      </c>
      <c r="E36" s="15" t="s">
        <v>561</v>
      </c>
      <c r="F36" s="5" t="s">
        <v>562</v>
      </c>
      <c r="G36" s="6" t="s">
        <v>563</v>
      </c>
      <c r="H36" s="5" t="s">
        <v>564</v>
      </c>
      <c r="I36" s="5" t="s">
        <v>565</v>
      </c>
      <c r="J36" s="5" t="s">
        <v>158</v>
      </c>
      <c r="K36" s="5" t="s">
        <v>159</v>
      </c>
    </row>
    <row r="37" spans="1:15">
      <c r="A37" s="3">
        <v>152</v>
      </c>
      <c r="B37" s="4" t="s">
        <v>566</v>
      </c>
      <c r="C37" s="28">
        <v>2005</v>
      </c>
      <c r="D37" s="4" t="s">
        <v>567</v>
      </c>
      <c r="E37" s="15" t="s">
        <v>568</v>
      </c>
      <c r="F37" s="5" t="s">
        <v>569</v>
      </c>
      <c r="G37" s="6" t="s">
        <v>36</v>
      </c>
      <c r="H37" s="5" t="s">
        <v>570</v>
      </c>
      <c r="I37" s="5" t="s">
        <v>571</v>
      </c>
      <c r="J37" s="5" t="s">
        <v>572</v>
      </c>
      <c r="K37" s="5" t="s">
        <v>573</v>
      </c>
    </row>
    <row r="38" spans="1:15">
      <c r="A38" s="3">
        <v>153</v>
      </c>
      <c r="B38" s="4" t="s">
        <v>574</v>
      </c>
      <c r="C38" s="28">
        <v>2004</v>
      </c>
      <c r="D38" s="4" t="s">
        <v>575</v>
      </c>
      <c r="E38" s="15" t="s">
        <v>576</v>
      </c>
      <c r="F38" s="5" t="s">
        <v>577</v>
      </c>
      <c r="G38" s="6" t="s">
        <v>20</v>
      </c>
      <c r="H38" s="5" t="s">
        <v>578</v>
      </c>
      <c r="I38" s="5" t="s">
        <v>579</v>
      </c>
      <c r="J38" s="5" t="s">
        <v>580</v>
      </c>
      <c r="K38" s="5" t="s">
        <v>581</v>
      </c>
    </row>
    <row r="39" spans="1:15">
      <c r="A39" s="3">
        <v>154</v>
      </c>
      <c r="B39" s="4" t="s">
        <v>582</v>
      </c>
      <c r="C39" s="28">
        <v>1978</v>
      </c>
      <c r="D39" s="4" t="s">
        <v>583</v>
      </c>
      <c r="E39" s="5" t="s">
        <v>584</v>
      </c>
      <c r="F39" s="5" t="s">
        <v>143</v>
      </c>
      <c r="G39" s="6"/>
      <c r="H39" s="5"/>
      <c r="I39" s="5"/>
      <c r="J39" s="5" t="s">
        <v>22</v>
      </c>
      <c r="K39" s="5" t="s">
        <v>23</v>
      </c>
    </row>
    <row r="40" spans="1:15">
      <c r="A40" s="3">
        <v>172</v>
      </c>
      <c r="B40" s="5" t="s">
        <v>585</v>
      </c>
      <c r="C40" s="5">
        <v>2010</v>
      </c>
      <c r="D40" s="5" t="s">
        <v>586</v>
      </c>
      <c r="E40" s="18" t="s">
        <v>587</v>
      </c>
      <c r="F40" s="5" t="s">
        <v>588</v>
      </c>
      <c r="G40" s="6" t="s">
        <v>589</v>
      </c>
      <c r="H40" s="34">
        <v>40218</v>
      </c>
      <c r="I40" s="5" t="s">
        <v>590</v>
      </c>
      <c r="J40" s="5" t="s">
        <v>145</v>
      </c>
      <c r="K40" s="5" t="s">
        <v>146</v>
      </c>
      <c r="L40">
        <v>1</v>
      </c>
      <c r="M40">
        <v>1</v>
      </c>
      <c r="N40">
        <v>1</v>
      </c>
    </row>
    <row r="41" spans="1:15">
      <c r="A41" s="3">
        <v>173</v>
      </c>
      <c r="B41" s="5" t="s">
        <v>585</v>
      </c>
      <c r="C41" s="5">
        <v>2011</v>
      </c>
      <c r="D41" s="15" t="s">
        <v>636</v>
      </c>
      <c r="E41" s="18" t="s">
        <v>637</v>
      </c>
      <c r="F41" s="5" t="s">
        <v>409</v>
      </c>
      <c r="G41" s="6" t="s">
        <v>681</v>
      </c>
      <c r="H41" s="34" t="s">
        <v>690</v>
      </c>
      <c r="I41" s="5" t="s">
        <v>643</v>
      </c>
      <c r="J41" s="5" t="s">
        <v>76</v>
      </c>
      <c r="K41" s="5" t="s">
        <v>41</v>
      </c>
      <c r="L41">
        <v>1</v>
      </c>
      <c r="M41">
        <v>1</v>
      </c>
      <c r="N41">
        <v>1</v>
      </c>
    </row>
    <row r="42" spans="1:15">
      <c r="A42" s="3">
        <v>174</v>
      </c>
      <c r="B42" s="5" t="s">
        <v>697</v>
      </c>
      <c r="C42" s="5">
        <v>2009</v>
      </c>
      <c r="D42" s="15" t="s">
        <v>698</v>
      </c>
      <c r="E42" s="18" t="s">
        <v>699</v>
      </c>
      <c r="F42" s="5" t="s">
        <v>700</v>
      </c>
      <c r="G42" s="6" t="s">
        <v>20</v>
      </c>
      <c r="H42" s="34" t="s">
        <v>701</v>
      </c>
      <c r="I42" s="5" t="s">
        <v>702</v>
      </c>
      <c r="J42" s="5" t="s">
        <v>76</v>
      </c>
      <c r="K42" s="5" t="s">
        <v>38</v>
      </c>
      <c r="L42">
        <v>1</v>
      </c>
      <c r="M42">
        <v>1</v>
      </c>
      <c r="N42">
        <v>1</v>
      </c>
    </row>
    <row r="43" spans="1:15">
      <c r="A43" s="3">
        <v>180</v>
      </c>
      <c r="B43" s="18" t="s">
        <v>760</v>
      </c>
      <c r="C43" s="28">
        <v>1987</v>
      </c>
      <c r="D43" s="27" t="s">
        <v>761</v>
      </c>
      <c r="E43" s="18" t="s">
        <v>762</v>
      </c>
      <c r="F43" s="5" t="s">
        <v>35</v>
      </c>
      <c r="G43" s="6" t="s">
        <v>36</v>
      </c>
      <c r="H43" s="5">
        <v>1987</v>
      </c>
      <c r="I43" s="5" t="s">
        <v>44</v>
      </c>
      <c r="J43" s="5"/>
      <c r="K43" s="5" t="s">
        <v>38</v>
      </c>
      <c r="M43">
        <v>1</v>
      </c>
    </row>
    <row r="44" spans="1:15">
      <c r="A44" s="3">
        <v>181</v>
      </c>
      <c r="B44" s="5" t="s">
        <v>766</v>
      </c>
      <c r="C44" s="5">
        <v>2009</v>
      </c>
      <c r="D44" s="12" t="s">
        <v>767</v>
      </c>
      <c r="E44" s="12" t="s">
        <v>768</v>
      </c>
      <c r="F44" s="5" t="s">
        <v>588</v>
      </c>
      <c r="G44" s="35" t="s">
        <v>49</v>
      </c>
      <c r="H44" s="30" t="s">
        <v>769</v>
      </c>
      <c r="I44" s="5" t="s">
        <v>770</v>
      </c>
      <c r="J44" s="5" t="s">
        <v>76</v>
      </c>
      <c r="K44" s="32" t="s">
        <v>771</v>
      </c>
      <c r="L44">
        <v>1</v>
      </c>
      <c r="M44">
        <v>1</v>
      </c>
      <c r="N44">
        <v>1</v>
      </c>
    </row>
    <row r="45" spans="1:15">
      <c r="A45" s="3">
        <v>182</v>
      </c>
      <c r="B45" s="18" t="s">
        <v>875</v>
      </c>
      <c r="C45" s="28">
        <v>2010</v>
      </c>
      <c r="D45" s="27" t="s">
        <v>876</v>
      </c>
      <c r="E45" s="18" t="s">
        <v>877</v>
      </c>
      <c r="F45" s="5" t="s">
        <v>878</v>
      </c>
      <c r="G45" s="6" t="s">
        <v>20</v>
      </c>
      <c r="H45" s="5">
        <v>2008</v>
      </c>
      <c r="I45" s="5" t="s">
        <v>879</v>
      </c>
      <c r="J45" s="5"/>
      <c r="K45" s="5" t="s">
        <v>880</v>
      </c>
      <c r="M45">
        <v>1</v>
      </c>
      <c r="O45" t="s">
        <v>1045</v>
      </c>
    </row>
    <row r="46" spans="1:15">
      <c r="A46" s="3">
        <v>193</v>
      </c>
      <c r="B46" s="27" t="s">
        <v>911</v>
      </c>
      <c r="C46" s="28">
        <v>2001</v>
      </c>
      <c r="D46" s="27" t="s">
        <v>912</v>
      </c>
      <c r="E46" s="27" t="s">
        <v>913</v>
      </c>
      <c r="F46" s="5" t="s">
        <v>914</v>
      </c>
      <c r="G46" s="6" t="s">
        <v>915</v>
      </c>
      <c r="H46" s="5">
        <v>2001</v>
      </c>
      <c r="I46" s="5"/>
      <c r="J46" s="5"/>
      <c r="K46" s="5"/>
      <c r="L46">
        <v>1</v>
      </c>
      <c r="M46">
        <v>1</v>
      </c>
      <c r="N46">
        <v>1</v>
      </c>
    </row>
    <row r="47" spans="1:15">
      <c r="A47" s="3">
        <v>194</v>
      </c>
      <c r="B47" s="27" t="s">
        <v>921</v>
      </c>
      <c r="C47" s="28">
        <v>2007</v>
      </c>
      <c r="D47" s="27" t="s">
        <v>922</v>
      </c>
      <c r="E47" s="27" t="s">
        <v>923</v>
      </c>
      <c r="F47" s="5" t="s">
        <v>878</v>
      </c>
      <c r="G47" s="6" t="s">
        <v>20</v>
      </c>
      <c r="H47" s="5">
        <v>2007</v>
      </c>
      <c r="I47" s="5"/>
      <c r="J47" s="5"/>
      <c r="K47" s="5"/>
    </row>
    <row r="48" spans="1:15">
      <c r="A48" s="3">
        <v>197</v>
      </c>
      <c r="B48" s="27" t="s">
        <v>875</v>
      </c>
      <c r="C48" s="28">
        <v>2007</v>
      </c>
      <c r="D48" s="27" t="s">
        <v>928</v>
      </c>
      <c r="E48" s="27" t="s">
        <v>929</v>
      </c>
      <c r="F48" s="5" t="s">
        <v>878</v>
      </c>
      <c r="G48" s="6" t="s">
        <v>20</v>
      </c>
      <c r="H48" s="5">
        <v>2003</v>
      </c>
      <c r="I48" s="5" t="s">
        <v>326</v>
      </c>
      <c r="J48" s="5"/>
      <c r="K48" s="5" t="s">
        <v>159</v>
      </c>
      <c r="L48">
        <v>1</v>
      </c>
      <c r="M48">
        <v>1</v>
      </c>
    </row>
    <row r="49" spans="1:15">
      <c r="A49" s="3">
        <v>203</v>
      </c>
      <c r="B49" s="27" t="s">
        <v>940</v>
      </c>
      <c r="C49" s="28">
        <v>2011</v>
      </c>
      <c r="D49" s="27" t="s">
        <v>941</v>
      </c>
      <c r="E49" s="18" t="s">
        <v>942</v>
      </c>
      <c r="F49" s="5" t="s">
        <v>943</v>
      </c>
      <c r="G49" s="6" t="s">
        <v>20</v>
      </c>
      <c r="H49" s="5">
        <v>2009</v>
      </c>
      <c r="I49" s="5" t="s">
        <v>326</v>
      </c>
      <c r="J49" s="5"/>
      <c r="K49" s="5"/>
      <c r="L49">
        <v>1</v>
      </c>
      <c r="M49">
        <v>1</v>
      </c>
    </row>
    <row r="50" spans="1:15">
      <c r="B50" s="11" t="s">
        <v>766</v>
      </c>
      <c r="C50" s="5">
        <v>2013</v>
      </c>
      <c r="D50" s="11" t="s">
        <v>952</v>
      </c>
    </row>
    <row r="51" spans="1:15">
      <c r="B51" s="11" t="s">
        <v>953</v>
      </c>
      <c r="C51" s="5">
        <v>2015</v>
      </c>
      <c r="D51" s="11" t="s">
        <v>954</v>
      </c>
    </row>
    <row r="52" spans="1:15">
      <c r="B52" s="11" t="s">
        <v>955</v>
      </c>
      <c r="C52" s="5">
        <v>2013</v>
      </c>
      <c r="D52" s="11" t="s">
        <v>956</v>
      </c>
      <c r="O52" t="s">
        <v>984</v>
      </c>
    </row>
    <row r="53" spans="1:15">
      <c r="B53" s="11" t="s">
        <v>236</v>
      </c>
      <c r="C53" s="5">
        <v>1996</v>
      </c>
      <c r="D53" s="11" t="s">
        <v>957</v>
      </c>
      <c r="O53" t="s">
        <v>1044</v>
      </c>
    </row>
    <row r="54" spans="1:15">
      <c r="B54" s="11" t="s">
        <v>958</v>
      </c>
      <c r="C54" s="5">
        <v>2011</v>
      </c>
      <c r="D54" s="11" t="s">
        <v>959</v>
      </c>
    </row>
    <row r="55" spans="1:15">
      <c r="B55" s="11" t="s">
        <v>960</v>
      </c>
      <c r="C55" s="5">
        <v>2013</v>
      </c>
      <c r="D55" s="11" t="s">
        <v>961</v>
      </c>
    </row>
    <row r="56" spans="1:15">
      <c r="B56" s="11" t="s">
        <v>962</v>
      </c>
      <c r="C56" s="5">
        <v>1993</v>
      </c>
      <c r="D56" s="11" t="s">
        <v>963</v>
      </c>
    </row>
    <row r="57" spans="1:15">
      <c r="B57" s="11" t="s">
        <v>964</v>
      </c>
      <c r="C57" s="5">
        <v>2005</v>
      </c>
      <c r="D57" s="11" t="s">
        <v>965</v>
      </c>
    </row>
    <row r="58" spans="1:15">
      <c r="B58" s="11" t="s">
        <v>966</v>
      </c>
      <c r="C58" s="5">
        <v>2013</v>
      </c>
      <c r="D58" s="11" t="s">
        <v>967</v>
      </c>
    </row>
    <row r="59" spans="1:15">
      <c r="B59" s="11" t="s">
        <v>968</v>
      </c>
      <c r="C59" s="5">
        <v>1996</v>
      </c>
      <c r="D59" s="11" t="s">
        <v>969</v>
      </c>
      <c r="O59" t="s">
        <v>1046</v>
      </c>
    </row>
    <row r="62" spans="1:15">
      <c r="A62" t="s">
        <v>1107</v>
      </c>
    </row>
    <row r="64" spans="1:15">
      <c r="A64" t="s">
        <v>1188</v>
      </c>
    </row>
    <row r="66" spans="1:1">
      <c r="A66" t="s">
        <v>1213</v>
      </c>
    </row>
    <row r="68" spans="1:1">
      <c r="A68" t="s">
        <v>1203</v>
      </c>
    </row>
    <row r="69" spans="1:1">
      <c r="A69" s="66" t="s">
        <v>1204</v>
      </c>
    </row>
    <row r="70" spans="1:1">
      <c r="A70" s="66" t="s">
        <v>1202</v>
      </c>
    </row>
    <row r="71" spans="1:1">
      <c r="A71" s="66" t="s">
        <v>1200</v>
      </c>
    </row>
    <row r="72" spans="1:1">
      <c r="A72" s="66" t="s">
        <v>1201</v>
      </c>
    </row>
    <row r="73" spans="1:1">
      <c r="A73" s="66" t="s">
        <v>1205</v>
      </c>
    </row>
    <row r="74" spans="1:1">
      <c r="A74" s="66" t="s">
        <v>1214</v>
      </c>
    </row>
    <row r="75" spans="1:1">
      <c r="A75" s="66" t="s">
        <v>1222</v>
      </c>
    </row>
    <row r="76" spans="1:1">
      <c r="A76" s="66" t="s">
        <v>1223</v>
      </c>
    </row>
    <row r="77" spans="1:1">
      <c r="A77" s="66" t="s">
        <v>1224</v>
      </c>
    </row>
  </sheetData>
  <dataValidations disablePrompts="1" count="1">
    <dataValidation showInputMessage="1" showErrorMessage="1" sqref="A2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36" sqref="A36:D41"/>
    </sheetView>
  </sheetViews>
  <sheetFormatPr baseColWidth="10" defaultRowHeight="15" x14ac:dyDescent="0"/>
  <cols>
    <col min="1" max="1" width="10.83203125" style="45"/>
    <col min="2" max="2" width="17.33203125" style="45" bestFit="1" customWidth="1"/>
    <col min="3" max="4" width="10.83203125" style="45"/>
  </cols>
  <sheetData>
    <row r="1" spans="1:4">
      <c r="A1" s="36" t="s">
        <v>0</v>
      </c>
      <c r="B1" s="36" t="s">
        <v>1</v>
      </c>
      <c r="C1" s="295" t="s">
        <v>2</v>
      </c>
      <c r="D1" s="295" t="s">
        <v>3</v>
      </c>
    </row>
    <row r="2" spans="1:4">
      <c r="A2" s="53">
        <v>4</v>
      </c>
      <c r="B2" s="60" t="s">
        <v>16</v>
      </c>
      <c r="C2" s="60">
        <v>1969</v>
      </c>
      <c r="D2" s="60" t="s">
        <v>17</v>
      </c>
    </row>
    <row r="3" spans="1:4">
      <c r="A3" s="53">
        <v>35</v>
      </c>
      <c r="B3" s="60" t="s">
        <v>45</v>
      </c>
      <c r="C3" s="60">
        <v>1982</v>
      </c>
      <c r="D3" s="60" t="s">
        <v>46</v>
      </c>
    </row>
    <row r="4" spans="1:4">
      <c r="A4" s="53">
        <v>37</v>
      </c>
      <c r="B4" s="60" t="s">
        <v>45</v>
      </c>
      <c r="C4" s="60">
        <v>1982</v>
      </c>
      <c r="D4" s="60" t="s">
        <v>92</v>
      </c>
    </row>
    <row r="5" spans="1:4">
      <c r="A5" s="53">
        <v>42</v>
      </c>
      <c r="B5" s="60" t="s">
        <v>103</v>
      </c>
      <c r="C5" s="60">
        <v>1984</v>
      </c>
      <c r="D5" s="60" t="s">
        <v>104</v>
      </c>
    </row>
    <row r="6" spans="1:4">
      <c r="A6" s="53">
        <v>46</v>
      </c>
      <c r="B6" s="60" t="s">
        <v>45</v>
      </c>
      <c r="C6" s="60">
        <v>1984</v>
      </c>
      <c r="D6" s="60" t="s">
        <v>113</v>
      </c>
    </row>
    <row r="7" spans="1:4">
      <c r="A7" s="53">
        <v>63</v>
      </c>
      <c r="B7" s="60" t="s">
        <v>168</v>
      </c>
      <c r="C7" s="60">
        <v>1989</v>
      </c>
      <c r="D7" s="60" t="s">
        <v>169</v>
      </c>
    </row>
    <row r="8" spans="1:4">
      <c r="A8" s="53">
        <v>66</v>
      </c>
      <c r="B8" s="60" t="s">
        <v>45</v>
      </c>
      <c r="C8" s="60">
        <v>1989</v>
      </c>
      <c r="D8" s="60" t="s">
        <v>187</v>
      </c>
    </row>
    <row r="9" spans="1:4">
      <c r="A9" s="53">
        <v>86</v>
      </c>
      <c r="B9" s="60" t="s">
        <v>223</v>
      </c>
      <c r="C9" s="60">
        <v>1991</v>
      </c>
      <c r="D9" s="60" t="s">
        <v>224</v>
      </c>
    </row>
    <row r="10" spans="1:4">
      <c r="A10" s="53">
        <v>94</v>
      </c>
      <c r="B10" s="60" t="s">
        <v>45</v>
      </c>
      <c r="C10" s="60">
        <v>1992</v>
      </c>
      <c r="D10" s="60" t="s">
        <v>276</v>
      </c>
    </row>
    <row r="11" spans="1:4">
      <c r="A11" s="53">
        <v>101</v>
      </c>
      <c r="B11" s="73" t="s">
        <v>298</v>
      </c>
      <c r="C11" s="54">
        <v>1994</v>
      </c>
      <c r="D11" s="73" t="s">
        <v>299</v>
      </c>
    </row>
    <row r="12" spans="1:4">
      <c r="A12" s="53">
        <v>103</v>
      </c>
      <c r="B12" s="60" t="s">
        <v>311</v>
      </c>
      <c r="C12" s="60">
        <v>1994</v>
      </c>
      <c r="D12" s="60" t="s">
        <v>312</v>
      </c>
    </row>
    <row r="13" spans="1:4">
      <c r="A13" s="53">
        <v>118</v>
      </c>
      <c r="B13" s="73" t="s">
        <v>399</v>
      </c>
      <c r="C13" s="54">
        <v>1999</v>
      </c>
      <c r="D13" s="73" t="s">
        <v>400</v>
      </c>
    </row>
    <row r="14" spans="1:4">
      <c r="A14" s="53">
        <v>119</v>
      </c>
      <c r="B14" s="60" t="s">
        <v>399</v>
      </c>
      <c r="C14" s="60">
        <v>2000</v>
      </c>
      <c r="D14" s="60" t="s">
        <v>407</v>
      </c>
    </row>
    <row r="15" spans="1:4">
      <c r="A15" s="53">
        <v>121</v>
      </c>
      <c r="B15" s="60" t="s">
        <v>427</v>
      </c>
      <c r="C15" s="60">
        <v>2002</v>
      </c>
      <c r="D15" s="60" t="s">
        <v>428</v>
      </c>
    </row>
    <row r="16" spans="1:4">
      <c r="A16" s="53">
        <v>130</v>
      </c>
      <c r="B16" s="60" t="s">
        <v>32</v>
      </c>
      <c r="C16" s="60">
        <v>1982</v>
      </c>
      <c r="D16" s="60" t="s">
        <v>470</v>
      </c>
    </row>
    <row r="17" spans="1:4">
      <c r="A17" s="53">
        <v>134</v>
      </c>
      <c r="B17" s="54" t="s">
        <v>322</v>
      </c>
      <c r="C17" s="173">
        <v>1999</v>
      </c>
      <c r="D17" s="78" t="s">
        <v>493</v>
      </c>
    </row>
    <row r="18" spans="1:4">
      <c r="A18" s="53">
        <v>142</v>
      </c>
      <c r="B18" s="78" t="s">
        <v>522</v>
      </c>
      <c r="C18" s="54">
        <v>2007</v>
      </c>
      <c r="D18" s="90" t="s">
        <v>523</v>
      </c>
    </row>
    <row r="19" spans="1:4">
      <c r="A19" s="53">
        <v>172</v>
      </c>
      <c r="B19" s="54" t="s">
        <v>585</v>
      </c>
      <c r="C19" s="54">
        <v>2010</v>
      </c>
      <c r="D19" s="54" t="s">
        <v>586</v>
      </c>
    </row>
    <row r="20" spans="1:4">
      <c r="A20" s="53">
        <v>173</v>
      </c>
      <c r="B20" s="54" t="s">
        <v>585</v>
      </c>
      <c r="C20" s="54">
        <v>2011</v>
      </c>
      <c r="D20" s="78" t="s">
        <v>636</v>
      </c>
    </row>
    <row r="21" spans="1:4">
      <c r="A21" s="53">
        <v>174</v>
      </c>
      <c r="B21" s="54" t="s">
        <v>697</v>
      </c>
      <c r="C21" s="54">
        <v>2009</v>
      </c>
      <c r="D21" s="78" t="s">
        <v>698</v>
      </c>
    </row>
    <row r="22" spans="1:4">
      <c r="A22" s="53">
        <v>181</v>
      </c>
      <c r="B22" s="54" t="s">
        <v>766</v>
      </c>
      <c r="C22" s="54">
        <v>2009</v>
      </c>
      <c r="D22" s="90" t="s">
        <v>767</v>
      </c>
    </row>
    <row r="23" spans="1:4">
      <c r="A23" s="53">
        <v>197</v>
      </c>
      <c r="B23" s="73" t="s">
        <v>875</v>
      </c>
      <c r="C23" s="54">
        <v>2007</v>
      </c>
      <c r="D23" s="73" t="s">
        <v>928</v>
      </c>
    </row>
    <row r="24" spans="1:4">
      <c r="A24" s="53">
        <v>203</v>
      </c>
      <c r="B24" s="73" t="s">
        <v>940</v>
      </c>
      <c r="C24" s="54">
        <v>2011</v>
      </c>
      <c r="D24" s="73" t="s">
        <v>941</v>
      </c>
    </row>
    <row r="25" spans="1:4">
      <c r="A25" s="172"/>
      <c r="B25" s="296" t="s">
        <v>992</v>
      </c>
      <c r="C25" s="298">
        <v>2013</v>
      </c>
      <c r="D25" s="172"/>
    </row>
    <row r="26" spans="1:4">
      <c r="A26" s="172"/>
      <c r="B26" s="73" t="s">
        <v>979</v>
      </c>
      <c r="C26" s="54">
        <v>2015</v>
      </c>
      <c r="D26" s="172"/>
    </row>
    <row r="27" spans="1:4">
      <c r="A27" s="172"/>
      <c r="B27" s="67" t="s">
        <v>1025</v>
      </c>
      <c r="C27" s="171">
        <v>1996</v>
      </c>
      <c r="D27" s="172"/>
    </row>
    <row r="28" spans="1:4">
      <c r="A28" s="172"/>
      <c r="B28" s="67" t="s">
        <v>968</v>
      </c>
      <c r="C28" s="171">
        <v>1996</v>
      </c>
      <c r="D28" s="172"/>
    </row>
    <row r="29" spans="1:4">
      <c r="A29" s="172"/>
      <c r="B29" s="296" t="s">
        <v>990</v>
      </c>
      <c r="C29" s="298">
        <v>2005</v>
      </c>
      <c r="D29" s="172"/>
    </row>
    <row r="30" spans="1:4">
      <c r="A30" s="318"/>
      <c r="B30" s="296" t="s">
        <v>988</v>
      </c>
      <c r="C30" s="298">
        <v>1993</v>
      </c>
      <c r="D30" s="318"/>
    </row>
    <row r="31" spans="1:4">
      <c r="A31" s="172"/>
      <c r="B31" s="73" t="s">
        <v>985</v>
      </c>
      <c r="C31" s="54">
        <v>2011</v>
      </c>
      <c r="D31" s="172"/>
    </row>
    <row r="32" spans="1:4">
      <c r="A32" s="172"/>
      <c r="B32" s="296" t="s">
        <v>1000</v>
      </c>
      <c r="C32" s="298">
        <v>2013</v>
      </c>
      <c r="D32" s="172"/>
    </row>
    <row r="33" spans="1:4">
      <c r="A33" s="172"/>
      <c r="B33" s="73" t="s">
        <v>766</v>
      </c>
      <c r="C33" s="54">
        <v>2013</v>
      </c>
      <c r="D33" s="66"/>
    </row>
    <row r="34" spans="1:4">
      <c r="A34" s="53"/>
      <c r="B34" s="290" t="s">
        <v>1276</v>
      </c>
      <c r="C34" s="291">
        <v>1989</v>
      </c>
      <c r="D34" s="66"/>
    </row>
    <row r="36" spans="1:4">
      <c r="A36" s="45" t="s">
        <v>1405</v>
      </c>
    </row>
    <row r="37" spans="1:4">
      <c r="A37" s="53">
        <v>80</v>
      </c>
      <c r="B37" s="54" t="s">
        <v>141</v>
      </c>
      <c r="C37" s="173">
        <v>1991</v>
      </c>
      <c r="D37" s="90" t="s">
        <v>201</v>
      </c>
    </row>
    <row r="38" spans="1:4">
      <c r="A38" s="53">
        <v>88</v>
      </c>
      <c r="B38" s="64" t="s">
        <v>241</v>
      </c>
      <c r="C38" s="96">
        <v>1992</v>
      </c>
      <c r="D38" s="64" t="s">
        <v>242</v>
      </c>
    </row>
    <row r="39" spans="1:4">
      <c r="A39" s="53">
        <v>139</v>
      </c>
      <c r="B39" s="65" t="s">
        <v>141</v>
      </c>
      <c r="C39" s="65">
        <v>1990</v>
      </c>
      <c r="D39" s="55" t="s">
        <v>500</v>
      </c>
    </row>
    <row r="40" spans="1:4">
      <c r="A40" s="45" t="s">
        <v>1404</v>
      </c>
    </row>
    <row r="41" spans="1:4">
      <c r="A41" s="53">
        <v>150</v>
      </c>
      <c r="B41" s="60" t="s">
        <v>542</v>
      </c>
      <c r="C41" s="54">
        <v>1970</v>
      </c>
      <c r="D41" s="60" t="s">
        <v>543</v>
      </c>
    </row>
  </sheetData>
  <sortState ref="A2:K514">
    <sortCondition ref="A2:A514"/>
    <sortCondition ref="B2:B514"/>
    <sortCondition ref="C2:C514"/>
  </sortState>
  <dataValidations count="1">
    <dataValidation showInputMessage="1" showErrorMessage="1" sqref="A1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38" sqref="A38:D41"/>
    </sheetView>
  </sheetViews>
  <sheetFormatPr baseColWidth="10" defaultRowHeight="15" x14ac:dyDescent="0"/>
  <cols>
    <col min="2" max="2" width="17.33203125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</row>
    <row r="2" spans="1:6">
      <c r="A2" s="53">
        <v>4</v>
      </c>
      <c r="B2" s="60" t="s">
        <v>16</v>
      </c>
      <c r="C2" s="60">
        <v>1969</v>
      </c>
      <c r="D2" s="60" t="s">
        <v>17</v>
      </c>
      <c r="E2" s="45"/>
      <c r="F2" s="45"/>
    </row>
    <row r="3" spans="1:6">
      <c r="A3" s="53">
        <v>35</v>
      </c>
      <c r="B3" s="60" t="s">
        <v>45</v>
      </c>
      <c r="C3" s="60">
        <v>1982</v>
      </c>
      <c r="D3" s="60" t="s">
        <v>46</v>
      </c>
      <c r="E3" s="45"/>
      <c r="F3" s="45"/>
    </row>
    <row r="4" spans="1:6">
      <c r="A4" s="53">
        <v>36</v>
      </c>
      <c r="B4" s="60" t="s">
        <v>45</v>
      </c>
      <c r="C4" s="60">
        <v>1982</v>
      </c>
      <c r="D4" s="60" t="s">
        <v>73</v>
      </c>
      <c r="E4" s="45"/>
      <c r="F4" s="45"/>
    </row>
    <row r="5" spans="1:6">
      <c r="A5" s="53">
        <v>37</v>
      </c>
      <c r="B5" s="60" t="s">
        <v>45</v>
      </c>
      <c r="C5" s="60">
        <v>1982</v>
      </c>
      <c r="D5" s="60" t="s">
        <v>92</v>
      </c>
      <c r="E5" s="45"/>
      <c r="F5" s="45"/>
    </row>
    <row r="6" spans="1:6">
      <c r="A6" s="53">
        <v>42</v>
      </c>
      <c r="B6" s="60" t="s">
        <v>103</v>
      </c>
      <c r="C6" s="60">
        <v>1984</v>
      </c>
      <c r="D6" s="60" t="s">
        <v>104</v>
      </c>
      <c r="E6" s="45"/>
      <c r="F6" s="45"/>
    </row>
    <row r="7" spans="1:6">
      <c r="A7" s="53">
        <v>46</v>
      </c>
      <c r="B7" s="60" t="s">
        <v>45</v>
      </c>
      <c r="C7" s="60">
        <v>1984</v>
      </c>
      <c r="D7" s="60" t="s">
        <v>113</v>
      </c>
      <c r="E7" s="45"/>
      <c r="F7" s="45"/>
    </row>
    <row r="8" spans="1:6">
      <c r="A8" s="53">
        <v>63</v>
      </c>
      <c r="B8" s="60" t="s">
        <v>168</v>
      </c>
      <c r="C8" s="60">
        <v>1989</v>
      </c>
      <c r="D8" s="60" t="s">
        <v>169</v>
      </c>
      <c r="E8" s="45"/>
      <c r="F8" s="45"/>
    </row>
    <row r="9" spans="1:6">
      <c r="A9" s="53">
        <v>66</v>
      </c>
      <c r="B9" s="60" t="s">
        <v>45</v>
      </c>
      <c r="C9" s="60">
        <v>1989</v>
      </c>
      <c r="D9" s="60" t="s">
        <v>187</v>
      </c>
      <c r="E9" s="45"/>
      <c r="F9" s="45"/>
    </row>
    <row r="10" spans="1:6">
      <c r="A10" s="53">
        <v>86</v>
      </c>
      <c r="B10" s="60" t="s">
        <v>223</v>
      </c>
      <c r="C10" s="60">
        <v>1991</v>
      </c>
      <c r="D10" s="60" t="s">
        <v>224</v>
      </c>
      <c r="E10" s="45"/>
      <c r="F10" s="45"/>
    </row>
    <row r="11" spans="1:6">
      <c r="A11" s="53">
        <v>94</v>
      </c>
      <c r="B11" s="60" t="s">
        <v>45</v>
      </c>
      <c r="C11" s="60">
        <v>1992</v>
      </c>
      <c r="D11" s="60" t="s">
        <v>276</v>
      </c>
      <c r="E11" s="45"/>
      <c r="F11" s="45"/>
    </row>
    <row r="12" spans="1:6">
      <c r="A12" s="53">
        <v>103</v>
      </c>
      <c r="B12" s="60" t="s">
        <v>311</v>
      </c>
      <c r="C12" s="60">
        <v>1994</v>
      </c>
      <c r="D12" s="60" t="s">
        <v>312</v>
      </c>
      <c r="E12" s="45"/>
      <c r="F12" s="45"/>
    </row>
    <row r="13" spans="1:6">
      <c r="A13" s="53">
        <v>118</v>
      </c>
      <c r="B13" s="73" t="s">
        <v>399</v>
      </c>
      <c r="C13" s="54">
        <v>1999</v>
      </c>
      <c r="D13" s="73" t="s">
        <v>400</v>
      </c>
      <c r="E13" s="45"/>
      <c r="F13" s="45"/>
    </row>
    <row r="14" spans="1:6">
      <c r="A14" s="53">
        <v>119</v>
      </c>
      <c r="B14" s="60" t="s">
        <v>399</v>
      </c>
      <c r="C14" s="60">
        <v>2000</v>
      </c>
      <c r="D14" s="60" t="s">
        <v>407</v>
      </c>
      <c r="E14" s="45"/>
      <c r="F14" s="45"/>
    </row>
    <row r="15" spans="1:6">
      <c r="A15" s="53">
        <v>121</v>
      </c>
      <c r="B15" s="60" t="s">
        <v>427</v>
      </c>
      <c r="C15" s="60">
        <v>2002</v>
      </c>
      <c r="D15" s="60" t="s">
        <v>428</v>
      </c>
      <c r="E15" s="45"/>
      <c r="F15" s="45"/>
    </row>
    <row r="16" spans="1:6">
      <c r="A16" s="53">
        <v>130</v>
      </c>
      <c r="B16" s="60" t="s">
        <v>32</v>
      </c>
      <c r="C16" s="60">
        <v>1982</v>
      </c>
      <c r="D16" s="60" t="s">
        <v>470</v>
      </c>
      <c r="E16" s="45"/>
      <c r="F16" s="45"/>
    </row>
    <row r="17" spans="1:6">
      <c r="A17" s="53">
        <v>134</v>
      </c>
      <c r="B17" s="54" t="s">
        <v>322</v>
      </c>
      <c r="C17" s="173">
        <v>1999</v>
      </c>
      <c r="D17" s="78" t="s">
        <v>493</v>
      </c>
      <c r="E17" s="45"/>
      <c r="F17" s="45"/>
    </row>
    <row r="18" spans="1:6">
      <c r="A18" s="53">
        <v>142</v>
      </c>
      <c r="B18" s="78" t="s">
        <v>522</v>
      </c>
      <c r="C18" s="54">
        <v>2007</v>
      </c>
      <c r="D18" s="90" t="s">
        <v>523</v>
      </c>
      <c r="E18" s="45"/>
      <c r="F18" s="45"/>
    </row>
    <row r="19" spans="1:6">
      <c r="A19" s="53">
        <v>172</v>
      </c>
      <c r="B19" s="54" t="s">
        <v>585</v>
      </c>
      <c r="C19" s="54">
        <v>2010</v>
      </c>
      <c r="D19" s="54" t="s">
        <v>586</v>
      </c>
      <c r="E19" s="45"/>
      <c r="F19" s="45"/>
    </row>
    <row r="20" spans="1:6">
      <c r="A20" s="53">
        <v>173</v>
      </c>
      <c r="B20" s="54" t="s">
        <v>585</v>
      </c>
      <c r="C20" s="54">
        <v>2011</v>
      </c>
      <c r="D20" s="78" t="s">
        <v>636</v>
      </c>
      <c r="E20" s="45"/>
      <c r="F20" s="45"/>
    </row>
    <row r="21" spans="1:6">
      <c r="A21" s="53">
        <v>174</v>
      </c>
      <c r="B21" s="54" t="s">
        <v>697</v>
      </c>
      <c r="C21" s="54">
        <v>2009</v>
      </c>
      <c r="D21" s="78" t="s">
        <v>698</v>
      </c>
      <c r="E21" s="45"/>
      <c r="F21" s="45"/>
    </row>
    <row r="22" spans="1:6">
      <c r="A22" s="53">
        <v>180</v>
      </c>
      <c r="B22" s="168" t="s">
        <v>760</v>
      </c>
      <c r="C22" s="54">
        <v>1987</v>
      </c>
      <c r="D22" s="73" t="s">
        <v>761</v>
      </c>
      <c r="E22" s="45"/>
      <c r="F22" s="45"/>
    </row>
    <row r="23" spans="1:6">
      <c r="A23" s="53">
        <v>181</v>
      </c>
      <c r="B23" s="54" t="s">
        <v>766</v>
      </c>
      <c r="C23" s="54">
        <v>2009</v>
      </c>
      <c r="D23" s="90" t="s">
        <v>767</v>
      </c>
      <c r="E23" s="45"/>
      <c r="F23" s="45"/>
    </row>
    <row r="24" spans="1:6">
      <c r="A24" s="53">
        <v>182</v>
      </c>
      <c r="B24" s="168" t="s">
        <v>875</v>
      </c>
      <c r="C24" s="54">
        <v>2010</v>
      </c>
      <c r="D24" s="73" t="s">
        <v>876</v>
      </c>
      <c r="E24" s="45"/>
      <c r="F24" s="45"/>
    </row>
    <row r="25" spans="1:6">
      <c r="A25" s="53">
        <v>197</v>
      </c>
      <c r="B25" s="73" t="s">
        <v>875</v>
      </c>
      <c r="C25" s="54">
        <v>2007</v>
      </c>
      <c r="D25" s="73" t="s">
        <v>928</v>
      </c>
      <c r="E25" s="45"/>
      <c r="F25" s="45"/>
    </row>
    <row r="26" spans="1:6">
      <c r="A26" s="53">
        <v>203</v>
      </c>
      <c r="B26" s="73" t="s">
        <v>940</v>
      </c>
      <c r="C26" s="54">
        <v>2011</v>
      </c>
      <c r="D26" s="73" t="s">
        <v>941</v>
      </c>
      <c r="E26" s="45"/>
      <c r="F26" s="45"/>
    </row>
    <row r="27" spans="1:6">
      <c r="A27" s="95"/>
      <c r="B27" s="73" t="s">
        <v>992</v>
      </c>
      <c r="C27" s="60">
        <v>2013</v>
      </c>
      <c r="D27" s="95"/>
      <c r="E27" s="45"/>
      <c r="F27" s="45"/>
    </row>
    <row r="28" spans="1:6">
      <c r="A28" s="66"/>
      <c r="B28" s="73" t="s">
        <v>979</v>
      </c>
      <c r="C28" s="54">
        <v>2015</v>
      </c>
      <c r="D28" s="66"/>
      <c r="E28" s="45"/>
      <c r="F28" s="45"/>
    </row>
    <row r="29" spans="1:6">
      <c r="A29" s="66"/>
      <c r="B29" s="67" t="s">
        <v>1025</v>
      </c>
      <c r="C29" s="171">
        <v>1996</v>
      </c>
      <c r="D29" s="66"/>
      <c r="E29" s="45"/>
      <c r="F29" s="45"/>
    </row>
    <row r="30" spans="1:6">
      <c r="A30" s="66"/>
      <c r="B30" s="67" t="s">
        <v>968</v>
      </c>
      <c r="C30" s="171">
        <v>1996</v>
      </c>
      <c r="D30" s="66"/>
      <c r="E30" s="45"/>
      <c r="F30" s="45"/>
    </row>
    <row r="31" spans="1:6">
      <c r="A31" s="66"/>
      <c r="B31" s="73" t="s">
        <v>990</v>
      </c>
      <c r="C31" s="60">
        <v>2005</v>
      </c>
      <c r="D31" s="66"/>
      <c r="E31" s="45"/>
      <c r="F31" s="45"/>
    </row>
    <row r="32" spans="1:6">
      <c r="A32" s="66"/>
      <c r="B32" s="73" t="s">
        <v>988</v>
      </c>
      <c r="C32" s="60">
        <v>1993</v>
      </c>
      <c r="D32" s="66"/>
      <c r="E32" s="45"/>
      <c r="F32" s="45"/>
    </row>
    <row r="33" spans="1:6">
      <c r="A33" s="66"/>
      <c r="B33" s="73" t="s">
        <v>985</v>
      </c>
      <c r="C33" s="54">
        <v>2011</v>
      </c>
      <c r="D33" s="66"/>
      <c r="E33" s="45"/>
      <c r="F33" s="45"/>
    </row>
    <row r="34" spans="1:6">
      <c r="A34" s="66"/>
      <c r="B34" s="73" t="s">
        <v>1000</v>
      </c>
      <c r="C34" s="60">
        <v>2013</v>
      </c>
      <c r="D34" s="66"/>
      <c r="E34" s="45"/>
      <c r="F34" s="45"/>
    </row>
    <row r="35" spans="1:6">
      <c r="A35" s="66"/>
      <c r="B35" s="73" t="s">
        <v>766</v>
      </c>
      <c r="C35" s="54">
        <v>2013</v>
      </c>
      <c r="D35" s="66"/>
    </row>
    <row r="36" spans="1:6">
      <c r="A36" s="53"/>
      <c r="B36" s="290" t="s">
        <v>1276</v>
      </c>
      <c r="C36" s="291">
        <v>1989</v>
      </c>
      <c r="D36" s="66"/>
    </row>
    <row r="38" spans="1:6">
      <c r="A38" s="45" t="s">
        <v>1405</v>
      </c>
      <c r="B38" s="45"/>
      <c r="C38" s="45"/>
      <c r="D38" s="45"/>
    </row>
    <row r="39" spans="1:6">
      <c r="A39" s="53">
        <v>80</v>
      </c>
      <c r="B39" s="54" t="s">
        <v>141</v>
      </c>
      <c r="C39" s="173">
        <v>1991</v>
      </c>
      <c r="D39" s="90" t="s">
        <v>201</v>
      </c>
    </row>
    <row r="40" spans="1:6">
      <c r="A40" s="53">
        <v>88</v>
      </c>
      <c r="B40" s="64" t="s">
        <v>241</v>
      </c>
      <c r="C40" s="96">
        <v>1992</v>
      </c>
      <c r="D40" s="64" t="s">
        <v>242</v>
      </c>
    </row>
    <row r="41" spans="1:6">
      <c r="A41" s="53">
        <v>139</v>
      </c>
      <c r="B41" s="65" t="s">
        <v>141</v>
      </c>
      <c r="C41" s="65">
        <v>1990</v>
      </c>
      <c r="D41" s="55" t="s">
        <v>500</v>
      </c>
    </row>
    <row r="42" spans="1:6">
      <c r="A42" s="45" t="s">
        <v>1404</v>
      </c>
      <c r="B42" s="45"/>
      <c r="C42" s="45"/>
      <c r="D42" s="45"/>
    </row>
    <row r="43" spans="1:6">
      <c r="A43" s="53">
        <v>150</v>
      </c>
      <c r="B43" s="60" t="s">
        <v>542</v>
      </c>
      <c r="C43" s="54">
        <v>1970</v>
      </c>
      <c r="D43" s="60" t="s">
        <v>543</v>
      </c>
    </row>
  </sheetData>
  <sortState ref="A2:K553">
    <sortCondition ref="A2:A553"/>
    <sortCondition ref="B2:B553"/>
    <sortCondition ref="C2:C553"/>
  </sortState>
  <dataValidations count="1">
    <dataValidation showInputMessage="1" showErrorMessage="1" sqref="A1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5" sqref="A25"/>
    </sheetView>
  </sheetViews>
  <sheetFormatPr baseColWidth="10" defaultRowHeight="15" x14ac:dyDescent="0"/>
  <cols>
    <col min="2" max="2" width="17.33203125" bestFit="1" customWidth="1"/>
    <col min="3" max="3" width="14.33203125" bestFit="1" customWidth="1"/>
  </cols>
  <sheetData>
    <row r="1" spans="1:4">
      <c r="A1" s="36" t="s">
        <v>0</v>
      </c>
      <c r="B1" s="36" t="s">
        <v>1</v>
      </c>
      <c r="C1" s="295" t="s">
        <v>2</v>
      </c>
      <c r="D1" s="295" t="s">
        <v>3</v>
      </c>
    </row>
    <row r="2" spans="1:4">
      <c r="A2" s="53">
        <v>35</v>
      </c>
      <c r="B2" s="60" t="s">
        <v>45</v>
      </c>
      <c r="C2" s="60">
        <v>1982</v>
      </c>
      <c r="D2" s="60" t="s">
        <v>46</v>
      </c>
    </row>
    <row r="3" spans="1:4">
      <c r="A3" s="53">
        <v>46</v>
      </c>
      <c r="B3" s="60" t="s">
        <v>45</v>
      </c>
      <c r="C3" s="60">
        <v>1984</v>
      </c>
      <c r="D3" s="60" t="s">
        <v>113</v>
      </c>
    </row>
    <row r="4" spans="1:4">
      <c r="A4" s="53">
        <v>63</v>
      </c>
      <c r="B4" s="60" t="s">
        <v>168</v>
      </c>
      <c r="C4" s="60">
        <v>1989</v>
      </c>
      <c r="D4" s="60" t="s">
        <v>169</v>
      </c>
    </row>
    <row r="5" spans="1:4">
      <c r="A5" s="53">
        <v>66</v>
      </c>
      <c r="B5" s="60" t="s">
        <v>45</v>
      </c>
      <c r="C5" s="60">
        <v>1989</v>
      </c>
      <c r="D5" s="60" t="s">
        <v>187</v>
      </c>
    </row>
    <row r="6" spans="1:4">
      <c r="A6" s="53">
        <v>94</v>
      </c>
      <c r="B6" s="60" t="s">
        <v>45</v>
      </c>
      <c r="C6" s="60">
        <v>1992</v>
      </c>
      <c r="D6" s="60" t="s">
        <v>276</v>
      </c>
    </row>
    <row r="7" spans="1:4">
      <c r="A7" s="53">
        <v>101</v>
      </c>
      <c r="B7" s="73" t="s">
        <v>298</v>
      </c>
      <c r="C7" s="54">
        <v>1994</v>
      </c>
      <c r="D7" s="73" t="s">
        <v>299</v>
      </c>
    </row>
    <row r="8" spans="1:4">
      <c r="A8" s="53">
        <v>103</v>
      </c>
      <c r="B8" s="60" t="s">
        <v>311</v>
      </c>
      <c r="C8" s="60">
        <v>1994</v>
      </c>
      <c r="D8" s="60" t="s">
        <v>312</v>
      </c>
    </row>
    <row r="9" spans="1:4">
      <c r="A9" s="53">
        <v>118</v>
      </c>
      <c r="B9" s="73" t="s">
        <v>399</v>
      </c>
      <c r="C9" s="54">
        <v>1999</v>
      </c>
      <c r="D9" s="73" t="s">
        <v>400</v>
      </c>
    </row>
    <row r="10" spans="1:4">
      <c r="A10" s="53">
        <v>119</v>
      </c>
      <c r="B10" s="60" t="s">
        <v>399</v>
      </c>
      <c r="C10" s="60">
        <v>2000</v>
      </c>
      <c r="D10" s="60" t="s">
        <v>407</v>
      </c>
    </row>
    <row r="11" spans="1:4">
      <c r="A11" s="53">
        <v>121</v>
      </c>
      <c r="B11" s="60" t="s">
        <v>427</v>
      </c>
      <c r="C11" s="60">
        <v>2003</v>
      </c>
      <c r="D11" s="60" t="s">
        <v>428</v>
      </c>
    </row>
    <row r="12" spans="1:4">
      <c r="A12" s="53">
        <v>134</v>
      </c>
      <c r="B12" s="54" t="s">
        <v>322</v>
      </c>
      <c r="C12" s="173">
        <v>1999</v>
      </c>
      <c r="D12" s="78" t="s">
        <v>493</v>
      </c>
    </row>
    <row r="13" spans="1:4">
      <c r="A13" s="53">
        <v>172</v>
      </c>
      <c r="B13" s="54" t="s">
        <v>585</v>
      </c>
      <c r="C13" s="54">
        <v>2010</v>
      </c>
      <c r="D13" s="54" t="s">
        <v>586</v>
      </c>
    </row>
    <row r="14" spans="1:4">
      <c r="A14" s="53">
        <v>173</v>
      </c>
      <c r="B14" s="54" t="s">
        <v>585</v>
      </c>
      <c r="C14" s="54">
        <v>2011</v>
      </c>
      <c r="D14" s="78" t="s">
        <v>636</v>
      </c>
    </row>
    <row r="15" spans="1:4">
      <c r="A15" s="53">
        <v>174</v>
      </c>
      <c r="B15" s="54" t="s">
        <v>697</v>
      </c>
      <c r="C15" s="54">
        <v>2009</v>
      </c>
      <c r="D15" s="78" t="s">
        <v>698</v>
      </c>
    </row>
    <row r="16" spans="1:4">
      <c r="A16" s="53">
        <v>181</v>
      </c>
      <c r="B16" s="54" t="s">
        <v>766</v>
      </c>
      <c r="C16" s="54">
        <v>2009</v>
      </c>
      <c r="D16" s="90" t="s">
        <v>767</v>
      </c>
    </row>
    <row r="17" spans="1:4">
      <c r="A17" s="66"/>
      <c r="B17" s="73" t="s">
        <v>992</v>
      </c>
      <c r="C17" s="60">
        <v>2013</v>
      </c>
      <c r="D17" s="66"/>
    </row>
    <row r="18" spans="1:4">
      <c r="A18" s="95"/>
      <c r="B18" s="319" t="s">
        <v>1025</v>
      </c>
      <c r="C18" s="171">
        <v>1996</v>
      </c>
      <c r="D18" s="95"/>
    </row>
    <row r="19" spans="1:4">
      <c r="A19" s="66"/>
      <c r="B19" s="73" t="s">
        <v>988</v>
      </c>
      <c r="C19" s="60">
        <v>1993</v>
      </c>
      <c r="D19" s="66"/>
    </row>
    <row r="20" spans="1:4">
      <c r="A20" s="95"/>
      <c r="B20" s="73" t="s">
        <v>985</v>
      </c>
      <c r="C20" s="60">
        <v>2011</v>
      </c>
      <c r="D20" s="95"/>
    </row>
    <row r="21" spans="1:4">
      <c r="A21" s="95"/>
      <c r="B21" s="73" t="s">
        <v>1000</v>
      </c>
      <c r="C21" s="60">
        <v>2013</v>
      </c>
      <c r="D21" s="95"/>
    </row>
    <row r="22" spans="1:4">
      <c r="A22" s="66"/>
      <c r="B22" s="73" t="s">
        <v>766</v>
      </c>
      <c r="C22" s="54">
        <v>2013</v>
      </c>
      <c r="D22" s="66"/>
    </row>
    <row r="23" spans="1:4">
      <c r="A23" s="53"/>
      <c r="B23" s="290" t="s">
        <v>1276</v>
      </c>
      <c r="C23" s="291">
        <v>1989</v>
      </c>
      <c r="D23" s="66"/>
    </row>
    <row r="25" spans="1:4">
      <c r="A25" s="45" t="s">
        <v>1405</v>
      </c>
      <c r="B25" s="45"/>
      <c r="C25" s="45"/>
      <c r="D25" s="45"/>
    </row>
    <row r="26" spans="1:4">
      <c r="A26" s="53">
        <v>80</v>
      </c>
      <c r="B26" s="54" t="s">
        <v>141</v>
      </c>
      <c r="C26" s="173">
        <v>1991</v>
      </c>
      <c r="D26" s="90" t="s">
        <v>201</v>
      </c>
    </row>
    <row r="27" spans="1:4">
      <c r="A27" s="53">
        <v>88</v>
      </c>
      <c r="B27" s="64" t="s">
        <v>241</v>
      </c>
      <c r="C27" s="96">
        <v>1992</v>
      </c>
      <c r="D27" s="64" t="s">
        <v>242</v>
      </c>
    </row>
    <row r="28" spans="1:4">
      <c r="A28" s="53">
        <v>139</v>
      </c>
      <c r="B28" s="65" t="s">
        <v>141</v>
      </c>
      <c r="C28" s="65">
        <v>1990</v>
      </c>
      <c r="D28" s="55" t="s">
        <v>500</v>
      </c>
    </row>
  </sheetData>
  <sortState ref="A2:K379">
    <sortCondition ref="A2:A379"/>
    <sortCondition ref="B2:B379"/>
    <sortCondition ref="C2:C379"/>
  </sortState>
  <dataValidations count="1">
    <dataValidation showInputMessage="1" showErrorMessage="1" sqref="A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7"/>
  <sheetViews>
    <sheetView topLeftCell="C88" workbookViewId="0">
      <selection activeCell="AD117" sqref="AD117"/>
    </sheetView>
  </sheetViews>
  <sheetFormatPr baseColWidth="10" defaultRowHeight="15" x14ac:dyDescent="0"/>
  <cols>
    <col min="11" max="11" width="35.33203125" bestFit="1" customWidth="1"/>
    <col min="28" max="28" width="42.33203125" bestFit="1" customWidth="1"/>
  </cols>
  <sheetData>
    <row r="1" spans="1:38">
      <c r="A1" s="36" t="s">
        <v>0</v>
      </c>
      <c r="B1" s="36" t="s">
        <v>1</v>
      </c>
      <c r="C1" s="37" t="s">
        <v>2</v>
      </c>
      <c r="D1" s="37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1217</v>
      </c>
      <c r="W1" s="36" t="s">
        <v>1218</v>
      </c>
      <c r="X1" s="36" t="s">
        <v>1174</v>
      </c>
      <c r="Y1" s="50" t="s">
        <v>1219</v>
      </c>
      <c r="Z1" s="36" t="s">
        <v>1176</v>
      </c>
      <c r="AA1" s="36" t="s">
        <v>1395</v>
      </c>
      <c r="AC1" s="36" t="s">
        <v>1206</v>
      </c>
      <c r="AD1" s="36" t="s">
        <v>1207</v>
      </c>
      <c r="AE1" s="36" t="s">
        <v>1208</v>
      </c>
      <c r="AF1" s="36" t="s">
        <v>1209</v>
      </c>
      <c r="AG1" s="36" t="s">
        <v>1210</v>
      </c>
      <c r="AH1" s="36" t="s">
        <v>1211</v>
      </c>
    </row>
    <row r="2" spans="1:38" s="45" customFormat="1">
      <c r="A2" s="172"/>
      <c r="B2" s="67" t="s">
        <v>968</v>
      </c>
      <c r="C2" s="171">
        <v>1996</v>
      </c>
      <c r="D2" s="172"/>
      <c r="E2" s="296" t="s">
        <v>172</v>
      </c>
      <c r="F2" s="172"/>
      <c r="G2" s="172"/>
      <c r="H2" s="66" t="s">
        <v>302</v>
      </c>
      <c r="I2" s="66" t="s">
        <v>1014</v>
      </c>
      <c r="J2" s="66" t="s">
        <v>1013</v>
      </c>
      <c r="K2" s="54" t="s">
        <v>1013</v>
      </c>
      <c r="L2" s="172"/>
      <c r="M2" s="66"/>
      <c r="N2" s="66"/>
      <c r="O2" s="67" t="s">
        <v>1009</v>
      </c>
      <c r="P2" s="172"/>
      <c r="Q2" s="172"/>
      <c r="R2" s="172"/>
      <c r="S2" s="172"/>
      <c r="T2" s="172"/>
      <c r="U2" s="172">
        <v>0.81</v>
      </c>
      <c r="V2" s="172"/>
      <c r="W2" s="172">
        <f>715*44/12/2</f>
        <v>1310.8333333333333</v>
      </c>
      <c r="X2" s="66">
        <f t="shared" ref="X2:X65" si="0">IF(R2&lt;&gt;0,IF(R2&gt;1,R2/100,R2),IF(U2&lt;&gt;0,IF(U2&gt;1,U2/100,U2),""))</f>
        <v>0.81</v>
      </c>
      <c r="Y2" s="297">
        <f>715*44/12/2</f>
        <v>1310.8333333333333</v>
      </c>
      <c r="Z2" s="192" t="str">
        <f t="shared" ref="Z2:Z33" si="1">IF(X2&lt;&gt;"",IF(X2&lt;0.9,"S","F"),"")</f>
        <v>S</v>
      </c>
      <c r="AA2" s="172" t="s">
        <v>1396</v>
      </c>
      <c r="AB2" s="45" t="s">
        <v>1398</v>
      </c>
      <c r="AC2" s="45">
        <f>AVERAGE($Y$2:$Y$114)</f>
        <v>1603.159204253687</v>
      </c>
      <c r="AD2" s="45">
        <f>MEDIAN($Y$2:$Y$114)</f>
        <v>1609.532727</v>
      </c>
      <c r="AE2" s="45">
        <f>MAX($Y$2:$Y$114)</f>
        <v>1932.8</v>
      </c>
      <c r="AF2" s="45">
        <f>MIN($Y$2:$Y$114)</f>
        <v>870</v>
      </c>
      <c r="AG2" s="45">
        <f>STDEV($Y$2:$Y$114)</f>
        <v>134.46904763096788</v>
      </c>
      <c r="AH2" s="45">
        <f>COUNT($Y$2:$Y$114)</f>
        <v>113</v>
      </c>
      <c r="AI2" s="172"/>
      <c r="AJ2" s="172"/>
      <c r="AK2" s="172"/>
      <c r="AL2" s="172"/>
    </row>
    <row r="3" spans="1:38" s="45" customFormat="1">
      <c r="A3" s="53">
        <v>4</v>
      </c>
      <c r="B3" s="60" t="s">
        <v>16</v>
      </c>
      <c r="C3" s="60">
        <v>1969</v>
      </c>
      <c r="D3" s="60" t="s">
        <v>17</v>
      </c>
      <c r="E3" s="56" t="s">
        <v>20</v>
      </c>
      <c r="F3" s="54">
        <v>1968</v>
      </c>
      <c r="G3" s="54" t="s">
        <v>21</v>
      </c>
      <c r="H3" s="54" t="s">
        <v>23</v>
      </c>
      <c r="I3" s="54"/>
      <c r="J3" s="298" t="s">
        <v>1013</v>
      </c>
      <c r="K3" s="298" t="s">
        <v>1087</v>
      </c>
      <c r="L3" s="54" t="s">
        <v>27</v>
      </c>
      <c r="M3" s="54"/>
      <c r="N3" s="54"/>
      <c r="O3" s="54" t="s">
        <v>28</v>
      </c>
      <c r="P3" s="54"/>
      <c r="Q3" s="54"/>
      <c r="R3" s="54"/>
      <c r="S3" s="54"/>
      <c r="T3" s="54"/>
      <c r="U3" s="54"/>
      <c r="V3" s="54"/>
      <c r="W3" s="54"/>
      <c r="X3" s="66" t="str">
        <f t="shared" si="0"/>
        <v/>
      </c>
      <c r="Y3" s="72">
        <v>1143</v>
      </c>
      <c r="Z3" s="192" t="str">
        <f t="shared" si="1"/>
        <v/>
      </c>
      <c r="AA3" s="45" t="s">
        <v>1396</v>
      </c>
      <c r="AB3" s="45" t="s">
        <v>1399</v>
      </c>
      <c r="AC3" s="311">
        <f>AVERAGE($Y$4:$Y$5,$Y$7:$Y$8,$Y$11:$Y$22,$Y$69:$Y$92,$Y$95:$Y$96,$Y$98:$Y$100,$Y$105,$Y$107:$Y$113)</f>
        <v>1665.9304459056602</v>
      </c>
      <c r="AD3" s="311">
        <f>MEDIAN($Y$4:$Y$5,$Y$7:$Y$8,$Y$11:$Y$22,$Y$69:$Y$92,$Y$95:$Y$96,$Y$98:$Y$100,$Y$105,$Y$107:$Y$113)</f>
        <v>1642</v>
      </c>
      <c r="AE3" s="311">
        <f>MAX($Y$4:$Y$5,$Y$7:$Y$8,$Y$11:$Y$22,$Y$69:$Y$92,$Y$95:$Y$96,$Y$98:$Y$100,$Y$105,$Y$107:$Y$113)</f>
        <v>1932.8</v>
      </c>
      <c r="AF3" s="311">
        <f>MIN($Y$4:$Y$5,$Y$7:$Y$8,$Y$11:$Y$22,$Y$69:$Y$92,$Y$95:$Y$96,$Y$98:$Y$100,$Y$105,$Y$107:$Y$113)</f>
        <v>1447.6000000000001</v>
      </c>
      <c r="AG3" s="311">
        <f>STDEV($Y$4:$Y$5,$Y$7:$Y$8,$Y$11:$Y$22,$Y$69:$Y$92,$Y$95:$Y$96,$Y$98:$Y$100,$Y$105,$Y$107:$Y$113)</f>
        <v>87.808513651201679</v>
      </c>
      <c r="AH3" s="311">
        <f>COUNT($Y$4:$Y$5,$Y$7:$Y$8,$Y$11:$Y$22,$Y$69:$Y$92,$Y$95:$Y$96,$Y$98:$Y$100,$Y$105,$Y$107:$Y$113)</f>
        <v>53</v>
      </c>
      <c r="AI3" s="172"/>
      <c r="AJ3" s="172"/>
      <c r="AK3" s="172"/>
      <c r="AL3" s="172"/>
    </row>
    <row r="4" spans="1:38" s="45" customFormat="1">
      <c r="A4" s="53">
        <v>174</v>
      </c>
      <c r="B4" s="54" t="s">
        <v>697</v>
      </c>
      <c r="C4" s="54">
        <v>2009</v>
      </c>
      <c r="D4" s="78" t="s">
        <v>698</v>
      </c>
      <c r="E4" s="56" t="s">
        <v>20</v>
      </c>
      <c r="F4" s="57" t="s">
        <v>701</v>
      </c>
      <c r="G4" s="54" t="s">
        <v>705</v>
      </c>
      <c r="H4" s="54" t="s">
        <v>159</v>
      </c>
      <c r="I4" s="54"/>
      <c r="J4" s="172" t="s">
        <v>1013</v>
      </c>
      <c r="K4" s="54" t="s">
        <v>1087</v>
      </c>
      <c r="L4" s="54" t="s">
        <v>464</v>
      </c>
      <c r="M4" s="59"/>
      <c r="N4" s="59"/>
      <c r="O4" s="54" t="s">
        <v>464</v>
      </c>
      <c r="P4" s="60"/>
      <c r="Q4" s="60"/>
      <c r="R4" s="54"/>
      <c r="S4" s="54"/>
      <c r="T4" s="54"/>
      <c r="U4" s="61">
        <v>0.90600000000000003</v>
      </c>
      <c r="V4" s="167"/>
      <c r="W4" s="167"/>
      <c r="X4" s="66">
        <f t="shared" si="0"/>
        <v>0.90600000000000003</v>
      </c>
      <c r="Y4" s="219">
        <v>1579</v>
      </c>
      <c r="Z4" s="192" t="str">
        <f t="shared" si="1"/>
        <v>F</v>
      </c>
      <c r="AA4" s="172" t="s">
        <v>1396</v>
      </c>
      <c r="AB4" s="45" t="s">
        <v>1400</v>
      </c>
      <c r="AC4" s="311">
        <f>AVERAGE($Y$23:$Y$65,$Y$93:$Y$94,$Y$97,$Y$101,$Y$106,$Y$114)</f>
        <v>1592.1022404285713</v>
      </c>
      <c r="AD4" s="311">
        <f>MEDIAN($Y$23:$Y$65,$Y$93:$Y$94,$Y$97,$Y$101,$Y$106,$Y$114)</f>
        <v>1592</v>
      </c>
      <c r="AE4" s="311">
        <f>MAX($Y$23:$Y$65,$Y$93:$Y$94,$Y$97,$Y$101,$Y$106,$Y$114)</f>
        <v>1656</v>
      </c>
      <c r="AF4" s="311">
        <f>MIN($Y$23:$Y$65,$Y$93:$Y$94,$Y$97,$Y$101,$Y$106,$Y$114)</f>
        <v>1523</v>
      </c>
      <c r="AG4" s="311">
        <f>STDEV($Y$23:$Y$65,$Y$93:$Y$94,$Y$97,$Y$101,$Y$106,$Y$114)</f>
        <v>27.899704324938444</v>
      </c>
      <c r="AH4" s="311">
        <f>COUNT($Y$23:$Y$65,$Y$93:$Y$94,$Y$97,$Y$101,$Y$106,$Y$114)</f>
        <v>49</v>
      </c>
      <c r="AI4" s="172"/>
      <c r="AJ4" s="172"/>
      <c r="AK4" s="172"/>
      <c r="AL4" s="172"/>
    </row>
    <row r="5" spans="1:38" s="45" customFormat="1">
      <c r="A5" s="53">
        <v>118</v>
      </c>
      <c r="B5" s="73" t="s">
        <v>399</v>
      </c>
      <c r="C5" s="54">
        <v>1999</v>
      </c>
      <c r="D5" s="73" t="s">
        <v>400</v>
      </c>
      <c r="E5" s="56" t="s">
        <v>20</v>
      </c>
      <c r="F5" s="54">
        <v>1999</v>
      </c>
      <c r="G5" s="54" t="s">
        <v>326</v>
      </c>
      <c r="H5" s="54" t="s">
        <v>159</v>
      </c>
      <c r="I5" s="54"/>
      <c r="J5" s="66" t="s">
        <v>1013</v>
      </c>
      <c r="K5" s="54" t="s">
        <v>1054</v>
      </c>
      <c r="L5" s="54" t="s">
        <v>405</v>
      </c>
      <c r="M5" s="54"/>
      <c r="N5" s="54"/>
      <c r="O5" s="54">
        <v>3</v>
      </c>
      <c r="P5" s="54"/>
      <c r="Q5" s="54"/>
      <c r="R5" s="54"/>
      <c r="S5" s="54"/>
      <c r="T5" s="54"/>
      <c r="U5" s="54">
        <v>0.95</v>
      </c>
      <c r="V5" s="54"/>
      <c r="W5" s="54"/>
      <c r="X5" s="66">
        <f t="shared" si="0"/>
        <v>0.95</v>
      </c>
      <c r="Y5" s="72">
        <v>1764.9</v>
      </c>
      <c r="Z5" s="192" t="str">
        <f t="shared" si="1"/>
        <v>F</v>
      </c>
      <c r="AA5" s="172" t="s">
        <v>1396</v>
      </c>
      <c r="AI5" s="172"/>
      <c r="AJ5" s="172"/>
      <c r="AK5" s="172"/>
      <c r="AL5" s="172"/>
    </row>
    <row r="6" spans="1:38" s="45" customFormat="1">
      <c r="A6" s="172"/>
      <c r="B6" s="67" t="s">
        <v>968</v>
      </c>
      <c r="C6" s="171">
        <v>1996</v>
      </c>
      <c r="D6" s="172"/>
      <c r="E6" s="296" t="s">
        <v>172</v>
      </c>
      <c r="F6" s="172"/>
      <c r="G6" s="172"/>
      <c r="H6" s="67" t="s">
        <v>23</v>
      </c>
      <c r="I6" s="67"/>
      <c r="J6" s="66" t="s">
        <v>1013</v>
      </c>
      <c r="K6" s="67" t="s">
        <v>1002</v>
      </c>
      <c r="L6" s="67" t="s">
        <v>1002</v>
      </c>
      <c r="M6" s="67" t="s">
        <v>1003</v>
      </c>
      <c r="N6" s="67"/>
      <c r="O6" s="67" t="s">
        <v>1005</v>
      </c>
      <c r="P6" s="172"/>
      <c r="Q6" s="172"/>
      <c r="R6" s="172"/>
      <c r="S6" s="172"/>
      <c r="T6" s="172"/>
      <c r="U6" s="172"/>
      <c r="V6" s="172">
        <f>837*44/12/2</f>
        <v>1534.5</v>
      </c>
      <c r="W6" s="172"/>
      <c r="X6" s="66" t="str">
        <f t="shared" si="0"/>
        <v/>
      </c>
      <c r="Y6" s="297">
        <f>837*44/12/2</f>
        <v>1534.5</v>
      </c>
      <c r="Z6" s="192" t="str">
        <f t="shared" si="1"/>
        <v/>
      </c>
      <c r="AA6" s="172" t="s">
        <v>1396</v>
      </c>
      <c r="AB6" s="45" t="s">
        <v>1390</v>
      </c>
      <c r="AC6" s="45">
        <f>AVERAGE($Y$115:$Y$207)</f>
        <v>1516.752688172043</v>
      </c>
      <c r="AD6" s="45">
        <f>MEDIAN($Y$115:$Y$207)</f>
        <v>1522</v>
      </c>
      <c r="AE6" s="45">
        <f>MAX($Y$115:$Y$207)</f>
        <v>1781</v>
      </c>
      <c r="AF6" s="45">
        <f>MIN($Y$115:$Y$207)</f>
        <v>667</v>
      </c>
      <c r="AG6" s="45">
        <f>STDEV($Y$115:$Y$207)</f>
        <v>166.31541902910152</v>
      </c>
      <c r="AH6" s="45">
        <f>COUNT($Y$115:$Y$207)</f>
        <v>93</v>
      </c>
      <c r="AI6" s="172"/>
      <c r="AJ6" s="172"/>
      <c r="AK6" s="172"/>
      <c r="AL6" s="172"/>
    </row>
    <row r="7" spans="1:38" s="45" customFormat="1">
      <c r="A7" s="172"/>
      <c r="B7" s="67" t="s">
        <v>968</v>
      </c>
      <c r="C7" s="171">
        <v>1996</v>
      </c>
      <c r="D7" s="172"/>
      <c r="E7" s="296" t="s">
        <v>172</v>
      </c>
      <c r="F7" s="172"/>
      <c r="G7" s="172"/>
      <c r="H7" s="67" t="s">
        <v>95</v>
      </c>
      <c r="I7" s="67"/>
      <c r="J7" s="66" t="s">
        <v>1013</v>
      </c>
      <c r="K7" s="67" t="s">
        <v>1002</v>
      </c>
      <c r="L7" s="67" t="s">
        <v>1002</v>
      </c>
      <c r="M7" s="67" t="s">
        <v>1003</v>
      </c>
      <c r="N7" s="67"/>
      <c r="O7" s="67" t="s">
        <v>1004</v>
      </c>
      <c r="P7" s="172"/>
      <c r="Q7" s="172"/>
      <c r="R7" s="172"/>
      <c r="S7" s="172"/>
      <c r="T7" s="172"/>
      <c r="U7" s="172">
        <v>0.9</v>
      </c>
      <c r="V7" s="172">
        <f>789.6*44/12/2</f>
        <v>1447.6000000000001</v>
      </c>
      <c r="W7" s="172"/>
      <c r="X7" s="66">
        <f t="shared" si="0"/>
        <v>0.9</v>
      </c>
      <c r="Y7" s="297">
        <f>789.6*44/12/2</f>
        <v>1447.6000000000001</v>
      </c>
      <c r="Z7" s="192" t="str">
        <f t="shared" si="1"/>
        <v>F</v>
      </c>
      <c r="AA7" s="172" t="s">
        <v>1396</v>
      </c>
      <c r="AB7" s="45" t="s">
        <v>1325</v>
      </c>
      <c r="AC7" s="172">
        <f>AVERAGE($Y$115:$Y$122,$Y$145:$Y$147,$Y$163:$Y$172)</f>
        <v>1649.5238095238096</v>
      </c>
      <c r="AD7" s="172">
        <f>MEDIAN($Y$115:$Y$122,$Y$145:$Y$147,$Y$163:$Y$172)</f>
        <v>1703</v>
      </c>
      <c r="AE7" s="172">
        <f>MAX($Y$115:$Y$122,$Y$145:$Y$147,$Y$163:$Y$172)</f>
        <v>1781</v>
      </c>
      <c r="AF7" s="172">
        <f>MIN($Y$115:$Y$122,$Y$145:$Y$147,$Y$163:$Y$172)</f>
        <v>667</v>
      </c>
      <c r="AG7" s="172">
        <f>STDEV($Y$115:$Y$122,$Y$145:$Y$147,$Y$163:$Y$172)</f>
        <v>228.41204413244486</v>
      </c>
      <c r="AH7" s="172">
        <f>COUNT($Y$115:$Y$122,$Y$145:$Y$147,$Y$163:$Y$172)</f>
        <v>21</v>
      </c>
      <c r="AI7" s="172"/>
      <c r="AJ7" s="172"/>
      <c r="AK7" s="172"/>
      <c r="AL7" s="172"/>
    </row>
    <row r="8" spans="1:38" s="45" customFormat="1">
      <c r="A8" s="53">
        <v>172</v>
      </c>
      <c r="B8" s="54" t="s">
        <v>585</v>
      </c>
      <c r="C8" s="54">
        <v>2010</v>
      </c>
      <c r="D8" s="54" t="s">
        <v>586</v>
      </c>
      <c r="E8" s="56" t="s">
        <v>589</v>
      </c>
      <c r="F8" s="57">
        <v>40234</v>
      </c>
      <c r="G8" s="54" t="s">
        <v>631</v>
      </c>
      <c r="H8" s="54" t="s">
        <v>159</v>
      </c>
      <c r="I8" s="54"/>
      <c r="J8" s="66" t="s">
        <v>1013</v>
      </c>
      <c r="K8" s="54" t="s">
        <v>1068</v>
      </c>
      <c r="L8" s="54" t="s">
        <v>632</v>
      </c>
      <c r="M8" s="88" t="s">
        <v>633</v>
      </c>
      <c r="N8" s="88"/>
      <c r="O8" s="54"/>
      <c r="P8" s="60"/>
      <c r="Q8" s="60"/>
      <c r="R8" s="54"/>
      <c r="S8" s="54"/>
      <c r="T8" s="54"/>
      <c r="U8" s="61">
        <v>0.93400000000000005</v>
      </c>
      <c r="V8" s="70"/>
      <c r="W8" s="70"/>
      <c r="X8" s="66">
        <f t="shared" si="0"/>
        <v>0.93400000000000005</v>
      </c>
      <c r="Y8" s="219">
        <v>1785</v>
      </c>
      <c r="Z8" s="192" t="str">
        <f t="shared" si="1"/>
        <v>F</v>
      </c>
      <c r="AA8" s="172" t="s">
        <v>1396</v>
      </c>
      <c r="AB8" s="45" t="s">
        <v>1326</v>
      </c>
      <c r="AC8" s="172">
        <f>AVERAGE($Y$123:$Y$135,$Y$148:$Y$161,$Y$184:$Y$192)</f>
        <v>1561.2777777777778</v>
      </c>
      <c r="AD8" s="172">
        <f>MEDIAN($Y$123:$Y$135,$Y$148:$Y$161,$Y$184:$Y$192)</f>
        <v>1544.5</v>
      </c>
      <c r="AE8" s="172">
        <f>MAX($Y$123:$Y$135,$Y$148:$Y$161,$Y$184:$Y$192)</f>
        <v>1745</v>
      </c>
      <c r="AF8" s="172">
        <f>MIN($Y$123:$Y$135,$Y$148:$Y$161,$Y$184:$Y$192)</f>
        <v>1386</v>
      </c>
      <c r="AG8" s="172">
        <f>STDEV($Y$123:$Y$135,$Y$148:$Y$161,$Y$184:$Y$192)</f>
        <v>80.779987306302218</v>
      </c>
      <c r="AH8" s="172">
        <f>COUNT($Y$123:$Y$135,$Y$148:$Y$161,$Y$184:$Y$192)</f>
        <v>36</v>
      </c>
      <c r="AI8" s="172"/>
      <c r="AJ8" s="172"/>
      <c r="AK8" s="172"/>
      <c r="AL8" s="172"/>
    </row>
    <row r="9" spans="1:38" s="45" customFormat="1">
      <c r="A9" s="53">
        <v>4</v>
      </c>
      <c r="B9" s="60" t="s">
        <v>16</v>
      </c>
      <c r="C9" s="60">
        <v>1969</v>
      </c>
      <c r="D9" s="60" t="s">
        <v>17</v>
      </c>
      <c r="E9" s="56" t="s">
        <v>20</v>
      </c>
      <c r="F9" s="54">
        <v>1968</v>
      </c>
      <c r="G9" s="54" t="s">
        <v>21</v>
      </c>
      <c r="H9" s="54" t="s">
        <v>23</v>
      </c>
      <c r="I9" s="54"/>
      <c r="J9" s="298" t="s">
        <v>1013</v>
      </c>
      <c r="K9" s="298" t="s">
        <v>1168</v>
      </c>
      <c r="L9" s="54" t="s">
        <v>24</v>
      </c>
      <c r="M9" s="54"/>
      <c r="N9" s="54"/>
      <c r="O9" s="54" t="s">
        <v>25</v>
      </c>
      <c r="P9" s="54"/>
      <c r="Q9" s="54"/>
      <c r="R9" s="54"/>
      <c r="S9" s="54"/>
      <c r="T9" s="54"/>
      <c r="U9" s="54"/>
      <c r="V9" s="54"/>
      <c r="W9" s="54"/>
      <c r="X9" s="66" t="str">
        <f t="shared" si="0"/>
        <v/>
      </c>
      <c r="Y9" s="72">
        <v>1030</v>
      </c>
      <c r="Z9" s="192" t="str">
        <f t="shared" si="1"/>
        <v/>
      </c>
      <c r="AA9" s="45" t="s">
        <v>1396</v>
      </c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s="45" customFormat="1">
      <c r="A10" s="53">
        <v>4</v>
      </c>
      <c r="B10" s="60" t="s">
        <v>16</v>
      </c>
      <c r="C10" s="60">
        <v>1969</v>
      </c>
      <c r="D10" s="60" t="s">
        <v>17</v>
      </c>
      <c r="E10" s="56" t="s">
        <v>20</v>
      </c>
      <c r="F10" s="54">
        <v>1968</v>
      </c>
      <c r="G10" s="54" t="s">
        <v>21</v>
      </c>
      <c r="H10" s="54" t="s">
        <v>23</v>
      </c>
      <c r="I10" s="54"/>
      <c r="J10" s="298" t="s">
        <v>1013</v>
      </c>
      <c r="K10" s="298" t="s">
        <v>1168</v>
      </c>
      <c r="L10" s="54" t="s">
        <v>24</v>
      </c>
      <c r="M10" s="54"/>
      <c r="N10" s="54"/>
      <c r="O10" s="54" t="s">
        <v>26</v>
      </c>
      <c r="P10" s="54"/>
      <c r="Q10" s="54"/>
      <c r="R10" s="54"/>
      <c r="S10" s="54"/>
      <c r="T10" s="54"/>
      <c r="U10" s="54"/>
      <c r="V10" s="54"/>
      <c r="W10" s="54"/>
      <c r="X10" s="66" t="str">
        <f t="shared" si="0"/>
        <v/>
      </c>
      <c r="Y10" s="72">
        <v>1213</v>
      </c>
      <c r="Z10" s="192" t="str">
        <f t="shared" si="1"/>
        <v/>
      </c>
      <c r="AA10" s="45" t="s">
        <v>1396</v>
      </c>
      <c r="AB10" s="172" t="s">
        <v>1388</v>
      </c>
      <c r="AC10" s="172">
        <f>AVERAGE($Y$11:$Y$65)</f>
        <v>1600.1272727272728</v>
      </c>
      <c r="AD10" s="172">
        <f>MEDIAN($Y$11:$Y$65)</f>
        <v>1603</v>
      </c>
      <c r="AE10" s="172">
        <f>MAX($Y$11:$Y$65)</f>
        <v>1716</v>
      </c>
      <c r="AF10" s="172">
        <f>MIN($Y$11:$Y$65)</f>
        <v>1527</v>
      </c>
      <c r="AG10" s="172">
        <f>STDEV($Y$11:$Y$65)</f>
        <v>35.389397107176428</v>
      </c>
      <c r="AH10" s="172">
        <f>COUNT($Y$11:$Y$65)</f>
        <v>55</v>
      </c>
      <c r="AI10" s="172"/>
      <c r="AJ10" s="172"/>
      <c r="AK10" s="172"/>
      <c r="AL10" s="172"/>
    </row>
    <row r="11" spans="1:38" s="45" customFormat="1">
      <c r="A11" s="53">
        <v>203</v>
      </c>
      <c r="B11" s="73" t="s">
        <v>940</v>
      </c>
      <c r="C11" s="54">
        <v>2011</v>
      </c>
      <c r="D11" s="73" t="s">
        <v>941</v>
      </c>
      <c r="E11" s="56" t="s">
        <v>20</v>
      </c>
      <c r="F11" s="54">
        <v>2009</v>
      </c>
      <c r="G11" s="54" t="s">
        <v>326</v>
      </c>
      <c r="H11" s="54"/>
      <c r="I11" s="54"/>
      <c r="J11" s="172" t="s">
        <v>1013</v>
      </c>
      <c r="K11" s="54" t="s">
        <v>1091</v>
      </c>
      <c r="L11" s="54" t="s">
        <v>725</v>
      </c>
      <c r="M11" s="54"/>
      <c r="N11" s="54"/>
      <c r="O11" s="54">
        <v>38</v>
      </c>
      <c r="P11" s="54"/>
      <c r="Q11" s="54"/>
      <c r="R11" s="54"/>
      <c r="S11" s="54"/>
      <c r="T11" s="54"/>
      <c r="U11" s="54">
        <v>0.93</v>
      </c>
      <c r="V11" s="54"/>
      <c r="W11" s="54"/>
      <c r="X11" s="66">
        <f t="shared" si="0"/>
        <v>0.93</v>
      </c>
      <c r="Y11" s="72">
        <v>1716</v>
      </c>
      <c r="Z11" s="192" t="str">
        <f t="shared" si="1"/>
        <v>F</v>
      </c>
      <c r="AA11" s="172" t="s">
        <v>1396</v>
      </c>
      <c r="AB11" s="172" t="s">
        <v>1319</v>
      </c>
      <c r="AC11" s="172">
        <f>AVERAGE($Y$11:$Y$22)</f>
        <v>1621.4166666666667</v>
      </c>
      <c r="AD11" s="172">
        <f>MEDIAN($Y$11:$Y$22)</f>
        <v>1637</v>
      </c>
      <c r="AE11" s="172">
        <f>MAX($Y$11:$Y$22)</f>
        <v>1716</v>
      </c>
      <c r="AF11" s="172">
        <f>MIN($Y$11:$Y$22)</f>
        <v>1528</v>
      </c>
      <c r="AG11" s="172">
        <f>STDEV($Y$11:$Y$22)</f>
        <v>52.128265467077078</v>
      </c>
      <c r="AH11" s="172">
        <f>COUNT($Y$11:$Y$22)</f>
        <v>12</v>
      </c>
      <c r="AI11" s="172"/>
      <c r="AJ11" s="172"/>
      <c r="AK11" s="172"/>
      <c r="AL11" s="172"/>
    </row>
    <row r="12" spans="1:38" s="45" customFormat="1">
      <c r="A12" s="53">
        <v>174</v>
      </c>
      <c r="B12" s="54" t="s">
        <v>697</v>
      </c>
      <c r="C12" s="54">
        <v>2009</v>
      </c>
      <c r="D12" s="78" t="s">
        <v>698</v>
      </c>
      <c r="E12" s="56" t="s">
        <v>20</v>
      </c>
      <c r="F12" s="57" t="s">
        <v>701</v>
      </c>
      <c r="G12" s="54" t="s">
        <v>705</v>
      </c>
      <c r="H12" s="54" t="s">
        <v>159</v>
      </c>
      <c r="I12" s="54"/>
      <c r="J12" s="172" t="s">
        <v>1013</v>
      </c>
      <c r="K12" s="54" t="s">
        <v>1091</v>
      </c>
      <c r="L12" s="54" t="s">
        <v>725</v>
      </c>
      <c r="M12" s="59"/>
      <c r="N12" s="59"/>
      <c r="O12" s="54" t="s">
        <v>725</v>
      </c>
      <c r="P12" s="60"/>
      <c r="Q12" s="60"/>
      <c r="R12" s="54"/>
      <c r="S12" s="54"/>
      <c r="T12" s="54"/>
      <c r="U12" s="61">
        <v>0.92</v>
      </c>
      <c r="V12" s="167"/>
      <c r="W12" s="167"/>
      <c r="X12" s="66">
        <f t="shared" si="0"/>
        <v>0.92</v>
      </c>
      <c r="Y12" s="219">
        <v>1528</v>
      </c>
      <c r="Z12" s="192" t="str">
        <f t="shared" si="1"/>
        <v>F</v>
      </c>
      <c r="AA12" s="172" t="s">
        <v>1396</v>
      </c>
      <c r="AB12" s="172" t="s">
        <v>1320</v>
      </c>
      <c r="AC12" s="172">
        <f>AVERAGE($Y$23:$Y$65)</f>
        <v>1594.1860465116279</v>
      </c>
      <c r="AD12" s="172">
        <f>MEDIAN($Y$23:$Y$65)</f>
        <v>1592</v>
      </c>
      <c r="AE12" s="172">
        <f>MAX($Y$23:$Y$65)</f>
        <v>1656</v>
      </c>
      <c r="AF12" s="172">
        <f>MIN($Y$23:$Y$65)</f>
        <v>1527</v>
      </c>
      <c r="AG12" s="172">
        <f>STDEV($Y$23:$Y$65)</f>
        <v>27.072438817394985</v>
      </c>
      <c r="AH12" s="172">
        <f>COUNT($Y$23:$Y$65)</f>
        <v>43</v>
      </c>
      <c r="AI12" s="172"/>
      <c r="AJ12" s="172"/>
      <c r="AK12" s="172"/>
      <c r="AL12" s="172"/>
    </row>
    <row r="13" spans="1:38" s="45" customFormat="1">
      <c r="A13" s="53">
        <v>174</v>
      </c>
      <c r="B13" s="54" t="s">
        <v>697</v>
      </c>
      <c r="C13" s="54">
        <v>2009</v>
      </c>
      <c r="D13" s="78" t="s">
        <v>698</v>
      </c>
      <c r="E13" s="56" t="s">
        <v>20</v>
      </c>
      <c r="F13" s="57" t="s">
        <v>701</v>
      </c>
      <c r="G13" s="54" t="s">
        <v>705</v>
      </c>
      <c r="H13" s="54" t="s">
        <v>159</v>
      </c>
      <c r="I13" s="54"/>
      <c r="J13" s="172" t="s">
        <v>1013</v>
      </c>
      <c r="K13" s="54" t="s">
        <v>1091</v>
      </c>
      <c r="L13" s="54" t="s">
        <v>712</v>
      </c>
      <c r="M13" s="59"/>
      <c r="N13" s="59"/>
      <c r="O13" s="54" t="s">
        <v>713</v>
      </c>
      <c r="P13" s="60"/>
      <c r="Q13" s="60"/>
      <c r="R13" s="54"/>
      <c r="S13" s="54"/>
      <c r="T13" s="54"/>
      <c r="U13" s="61">
        <v>0.91500000000000004</v>
      </c>
      <c r="V13" s="167"/>
      <c r="W13" s="167"/>
      <c r="X13" s="66">
        <f t="shared" si="0"/>
        <v>0.91500000000000004</v>
      </c>
      <c r="Y13" s="219">
        <v>1552</v>
      </c>
      <c r="Z13" s="192" t="str">
        <f t="shared" si="1"/>
        <v>F</v>
      </c>
      <c r="AA13" s="172" t="s">
        <v>1396</v>
      </c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</row>
    <row r="14" spans="1:38" s="45" customFormat="1">
      <c r="A14" s="172"/>
      <c r="B14" s="73" t="s">
        <v>766</v>
      </c>
      <c r="C14" s="54">
        <v>2013</v>
      </c>
      <c r="D14" s="66"/>
      <c r="E14" s="56" t="s">
        <v>172</v>
      </c>
      <c r="F14" s="54">
        <v>2011</v>
      </c>
      <c r="G14" s="54" t="s">
        <v>631</v>
      </c>
      <c r="H14" s="66" t="s">
        <v>159</v>
      </c>
      <c r="I14" s="66" t="s">
        <v>1014</v>
      </c>
      <c r="J14" s="74" t="s">
        <v>1013</v>
      </c>
      <c r="K14" s="54" t="s">
        <v>1091</v>
      </c>
      <c r="L14" s="54" t="s">
        <v>974</v>
      </c>
      <c r="M14" s="172"/>
      <c r="N14" s="172"/>
      <c r="O14" s="66" t="s">
        <v>972</v>
      </c>
      <c r="P14" s="172"/>
      <c r="Q14" s="172"/>
      <c r="R14" s="172"/>
      <c r="S14" s="172"/>
      <c r="T14" s="172"/>
      <c r="U14" s="54">
        <v>0.90300000000000002</v>
      </c>
      <c r="V14" s="172"/>
      <c r="W14" s="172"/>
      <c r="X14" s="66">
        <f t="shared" si="0"/>
        <v>0.90300000000000002</v>
      </c>
      <c r="Y14" s="72">
        <v>1641</v>
      </c>
      <c r="Z14" s="192" t="str">
        <f t="shared" si="1"/>
        <v>F</v>
      </c>
      <c r="AA14" s="172" t="s">
        <v>1396</v>
      </c>
      <c r="AB14" s="172" t="s">
        <v>1389</v>
      </c>
      <c r="AC14" s="311">
        <f>AVERAGE($Y$69:$Y$94)</f>
        <v>1637.7355159230769</v>
      </c>
      <c r="AD14" s="311">
        <f>MEDIAN($Y$69:$Y$94)</f>
        <v>1639.4327695000002</v>
      </c>
      <c r="AE14" s="311">
        <f>MAX($Y$69:$Y$94)</f>
        <v>1716.515762</v>
      </c>
      <c r="AF14" s="311">
        <f>MIN($Y$69:$Y$94)</f>
        <v>1584.390349</v>
      </c>
      <c r="AG14" s="311">
        <f>STDEV($Y$69:$Y$94)</f>
        <v>34.302795886991888</v>
      </c>
      <c r="AH14" s="311">
        <f>COUNT($Y$69:$Y$94)</f>
        <v>26</v>
      </c>
      <c r="AI14" s="172"/>
      <c r="AJ14" s="172"/>
      <c r="AK14" s="172"/>
      <c r="AL14" s="172"/>
    </row>
    <row r="15" spans="1:38" s="45" customFormat="1">
      <c r="A15" s="172"/>
      <c r="B15" s="73" t="s">
        <v>766</v>
      </c>
      <c r="C15" s="54">
        <v>2013</v>
      </c>
      <c r="D15" s="66"/>
      <c r="E15" s="56" t="s">
        <v>172</v>
      </c>
      <c r="F15" s="54">
        <v>2011</v>
      </c>
      <c r="G15" s="54" t="s">
        <v>631</v>
      </c>
      <c r="H15" s="66" t="s">
        <v>159</v>
      </c>
      <c r="I15" s="66" t="s">
        <v>1014</v>
      </c>
      <c r="J15" s="74" t="s">
        <v>1013</v>
      </c>
      <c r="K15" s="54" t="s">
        <v>1091</v>
      </c>
      <c r="L15" s="54" t="s">
        <v>975</v>
      </c>
      <c r="M15" s="172"/>
      <c r="N15" s="172"/>
      <c r="O15" s="66" t="s">
        <v>976</v>
      </c>
      <c r="P15" s="172"/>
      <c r="Q15" s="172"/>
      <c r="R15" s="172"/>
      <c r="S15" s="172"/>
      <c r="T15" s="172"/>
      <c r="U15" s="54">
        <v>0.90300000000000002</v>
      </c>
      <c r="V15" s="172"/>
      <c r="W15" s="172"/>
      <c r="X15" s="66">
        <f t="shared" si="0"/>
        <v>0.90300000000000002</v>
      </c>
      <c r="Y15" s="72">
        <v>1642</v>
      </c>
      <c r="Z15" s="192" t="str">
        <f t="shared" si="1"/>
        <v>F</v>
      </c>
      <c r="AA15" s="172" t="s">
        <v>1396</v>
      </c>
      <c r="AB15" s="172" t="s">
        <v>1321</v>
      </c>
      <c r="AC15" s="311">
        <f>AVERAGE($Y$69:$Y$92)</f>
        <v>1640.5339013749999</v>
      </c>
      <c r="AD15" s="311">
        <f>MEDIAN($Y$69:$Y$92)</f>
        <v>1640.1250519999999</v>
      </c>
      <c r="AE15" s="311">
        <f>MAX($Y$69:$Y$92)</f>
        <v>1716.515762</v>
      </c>
      <c r="AF15" s="311">
        <f>MIN($Y$69:$Y$92)</f>
        <v>1584.390349</v>
      </c>
      <c r="AG15" s="311">
        <f>STDEV($Y$69:$Y$92)</f>
        <v>34.244084047988352</v>
      </c>
      <c r="AH15" s="311">
        <f>COUNT($Y$69:$Y$92)</f>
        <v>24</v>
      </c>
      <c r="AI15" s="172"/>
      <c r="AJ15" s="172"/>
      <c r="AK15" s="172"/>
      <c r="AL15" s="172"/>
    </row>
    <row r="16" spans="1:38" s="45" customFormat="1">
      <c r="A16" s="172"/>
      <c r="B16" s="73" t="s">
        <v>766</v>
      </c>
      <c r="C16" s="54">
        <v>2013</v>
      </c>
      <c r="D16" s="66"/>
      <c r="E16" s="56" t="s">
        <v>172</v>
      </c>
      <c r="F16" s="54">
        <v>2011</v>
      </c>
      <c r="G16" s="54" t="s">
        <v>631</v>
      </c>
      <c r="H16" s="66" t="s">
        <v>159</v>
      </c>
      <c r="I16" s="66" t="s">
        <v>1014</v>
      </c>
      <c r="J16" s="74" t="s">
        <v>1013</v>
      </c>
      <c r="K16" s="54" t="s">
        <v>1091</v>
      </c>
      <c r="L16" s="54" t="s">
        <v>978</v>
      </c>
      <c r="M16" s="172"/>
      <c r="N16" s="172"/>
      <c r="O16" s="66" t="s">
        <v>977</v>
      </c>
      <c r="P16" s="172"/>
      <c r="Q16" s="172"/>
      <c r="R16" s="172"/>
      <c r="S16" s="172"/>
      <c r="T16" s="172"/>
      <c r="U16" s="54">
        <v>0.90200000000000002</v>
      </c>
      <c r="V16" s="172"/>
      <c r="W16" s="172"/>
      <c r="X16" s="66">
        <f t="shared" si="0"/>
        <v>0.90200000000000002</v>
      </c>
      <c r="Y16" s="72">
        <v>1639</v>
      </c>
      <c r="Z16" s="192" t="str">
        <f t="shared" si="1"/>
        <v>F</v>
      </c>
      <c r="AA16" s="172" t="s">
        <v>1396</v>
      </c>
      <c r="AB16" s="172" t="s">
        <v>1322</v>
      </c>
      <c r="AC16" s="316">
        <f>AVERAGE($Y$93:$Y$94)</f>
        <v>1604.1548905</v>
      </c>
      <c r="AD16" s="316">
        <f>MEDIAN($Y$93:$Y$94)</f>
        <v>1604.1548905</v>
      </c>
      <c r="AE16" s="316">
        <f>MAX($Y$93:$Y$94)</f>
        <v>1605.3097809999999</v>
      </c>
      <c r="AF16" s="316">
        <f>MIN($Y$93:$Y$94)</f>
        <v>1603</v>
      </c>
      <c r="AG16" s="316">
        <f>STDEV($Y$93:$Y$94)</f>
        <v>1.6332618081557955</v>
      </c>
      <c r="AH16" s="316">
        <f>COUNT($Y$93:$Y$94)</f>
        <v>2</v>
      </c>
      <c r="AI16" s="172"/>
      <c r="AJ16" s="172"/>
      <c r="AK16" s="172"/>
      <c r="AL16" s="172"/>
    </row>
    <row r="17" spans="1:38" s="45" customFormat="1">
      <c r="A17" s="172"/>
      <c r="B17" s="73" t="s">
        <v>766</v>
      </c>
      <c r="C17" s="54">
        <v>2013</v>
      </c>
      <c r="D17" s="66"/>
      <c r="E17" s="56" t="s">
        <v>172</v>
      </c>
      <c r="F17" s="54">
        <v>2011</v>
      </c>
      <c r="G17" s="54" t="s">
        <v>631</v>
      </c>
      <c r="H17" s="66" t="s">
        <v>159</v>
      </c>
      <c r="I17" s="66" t="s">
        <v>1014</v>
      </c>
      <c r="J17" s="74" t="s">
        <v>1013</v>
      </c>
      <c r="K17" s="54" t="s">
        <v>1091</v>
      </c>
      <c r="L17" s="54" t="s">
        <v>975</v>
      </c>
      <c r="M17" s="172"/>
      <c r="N17" s="172"/>
      <c r="O17" s="66" t="s">
        <v>976</v>
      </c>
      <c r="P17" s="172"/>
      <c r="Q17" s="172"/>
      <c r="R17" s="172"/>
      <c r="S17" s="172"/>
      <c r="T17" s="172"/>
      <c r="U17" s="54">
        <v>0.90200000000000002</v>
      </c>
      <c r="V17" s="172"/>
      <c r="W17" s="172"/>
      <c r="X17" s="66">
        <f t="shared" si="0"/>
        <v>0.90200000000000002</v>
      </c>
      <c r="Y17" s="72">
        <v>1641</v>
      </c>
      <c r="Z17" s="192" t="str">
        <f t="shared" si="1"/>
        <v>F</v>
      </c>
      <c r="AA17" s="172" t="s">
        <v>1396</v>
      </c>
      <c r="AH17" s="172"/>
      <c r="AI17" s="172"/>
      <c r="AJ17" s="172"/>
      <c r="AK17" s="172"/>
      <c r="AL17" s="172"/>
    </row>
    <row r="18" spans="1:38" s="45" customFormat="1">
      <c r="A18" s="172"/>
      <c r="B18" s="73" t="s">
        <v>766</v>
      </c>
      <c r="C18" s="54">
        <v>2013</v>
      </c>
      <c r="D18" s="66"/>
      <c r="E18" s="56" t="s">
        <v>172</v>
      </c>
      <c r="F18" s="54">
        <v>2011</v>
      </c>
      <c r="G18" s="54" t="s">
        <v>631</v>
      </c>
      <c r="H18" s="66" t="s">
        <v>159</v>
      </c>
      <c r="I18" s="66" t="s">
        <v>1014</v>
      </c>
      <c r="J18" s="74" t="s">
        <v>1013</v>
      </c>
      <c r="K18" s="54" t="s">
        <v>1091</v>
      </c>
      <c r="L18" s="54" t="s">
        <v>975</v>
      </c>
      <c r="M18" s="172"/>
      <c r="N18" s="172"/>
      <c r="O18" s="66" t="s">
        <v>976</v>
      </c>
      <c r="P18" s="172"/>
      <c r="Q18" s="172"/>
      <c r="R18" s="172"/>
      <c r="S18" s="172"/>
      <c r="T18" s="172"/>
      <c r="U18" s="54">
        <v>0.90100000000000002</v>
      </c>
      <c r="V18" s="172"/>
      <c r="W18" s="172"/>
      <c r="X18" s="66">
        <f t="shared" si="0"/>
        <v>0.90100000000000002</v>
      </c>
      <c r="Y18" s="72">
        <v>1636</v>
      </c>
      <c r="Z18" s="192" t="str">
        <f t="shared" si="1"/>
        <v>F</v>
      </c>
      <c r="AA18" s="172" t="s">
        <v>1396</v>
      </c>
      <c r="AH18" s="172"/>
      <c r="AI18" s="172"/>
      <c r="AJ18" s="172"/>
      <c r="AK18" s="172"/>
      <c r="AL18" s="172"/>
    </row>
    <row r="19" spans="1:38" s="45" customFormat="1">
      <c r="A19" s="172"/>
      <c r="B19" s="73" t="s">
        <v>766</v>
      </c>
      <c r="C19" s="54">
        <v>2013</v>
      </c>
      <c r="D19" s="66"/>
      <c r="E19" s="56" t="s">
        <v>172</v>
      </c>
      <c r="F19" s="54">
        <v>2011</v>
      </c>
      <c r="G19" s="54" t="s">
        <v>631</v>
      </c>
      <c r="H19" s="66" t="s">
        <v>159</v>
      </c>
      <c r="I19" s="66" t="s">
        <v>1014</v>
      </c>
      <c r="J19" s="74" t="s">
        <v>1013</v>
      </c>
      <c r="K19" s="54" t="s">
        <v>1091</v>
      </c>
      <c r="L19" s="54" t="s">
        <v>974</v>
      </c>
      <c r="M19" s="172"/>
      <c r="N19" s="172"/>
      <c r="O19" s="66" t="s">
        <v>972</v>
      </c>
      <c r="P19" s="172"/>
      <c r="Q19" s="172"/>
      <c r="R19" s="172"/>
      <c r="S19" s="172"/>
      <c r="T19" s="172"/>
      <c r="U19" s="54">
        <v>0.90100000000000002</v>
      </c>
      <c r="V19" s="172"/>
      <c r="W19" s="172"/>
      <c r="X19" s="66">
        <f t="shared" si="0"/>
        <v>0.90100000000000002</v>
      </c>
      <c r="Y19" s="72">
        <v>1637</v>
      </c>
      <c r="Z19" s="192" t="str">
        <f t="shared" si="1"/>
        <v>F</v>
      </c>
      <c r="AA19" s="172" t="s">
        <v>1396</v>
      </c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</row>
    <row r="20" spans="1:38" s="45" customFormat="1">
      <c r="A20" s="172"/>
      <c r="B20" s="73" t="s">
        <v>766</v>
      </c>
      <c r="C20" s="54">
        <v>2013</v>
      </c>
      <c r="D20" s="66"/>
      <c r="E20" s="56" t="s">
        <v>172</v>
      </c>
      <c r="F20" s="54">
        <v>2011</v>
      </c>
      <c r="G20" s="54" t="s">
        <v>631</v>
      </c>
      <c r="H20" s="66" t="s">
        <v>159</v>
      </c>
      <c r="I20" s="66" t="s">
        <v>1014</v>
      </c>
      <c r="J20" s="74" t="s">
        <v>1013</v>
      </c>
      <c r="K20" s="54" t="s">
        <v>1091</v>
      </c>
      <c r="L20" s="54" t="s">
        <v>974</v>
      </c>
      <c r="M20" s="172"/>
      <c r="N20" s="172"/>
      <c r="O20" s="66" t="s">
        <v>972</v>
      </c>
      <c r="P20" s="172"/>
      <c r="Q20" s="172"/>
      <c r="R20" s="172"/>
      <c r="S20" s="172"/>
      <c r="T20" s="172"/>
      <c r="U20" s="54">
        <v>0.90100000000000002</v>
      </c>
      <c r="V20" s="172"/>
      <c r="W20" s="172"/>
      <c r="X20" s="66">
        <f t="shared" si="0"/>
        <v>0.90100000000000002</v>
      </c>
      <c r="Y20" s="72">
        <v>1637</v>
      </c>
      <c r="Z20" s="192" t="str">
        <f t="shared" si="1"/>
        <v>F</v>
      </c>
      <c r="AA20" s="172" t="s">
        <v>1396</v>
      </c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</row>
    <row r="21" spans="1:38" s="45" customFormat="1">
      <c r="A21" s="53">
        <v>203</v>
      </c>
      <c r="B21" s="73" t="s">
        <v>940</v>
      </c>
      <c r="C21" s="54">
        <v>2011</v>
      </c>
      <c r="D21" s="73" t="s">
        <v>941</v>
      </c>
      <c r="E21" s="56" t="s">
        <v>20</v>
      </c>
      <c r="F21" s="54">
        <v>2009</v>
      </c>
      <c r="G21" s="54" t="s">
        <v>326</v>
      </c>
      <c r="H21" s="54"/>
      <c r="I21" s="54"/>
      <c r="J21" s="172" t="s">
        <v>1013</v>
      </c>
      <c r="K21" s="54" t="s">
        <v>1091</v>
      </c>
      <c r="L21" s="54" t="s">
        <v>725</v>
      </c>
      <c r="M21" s="54"/>
      <c r="N21" s="54"/>
      <c r="O21" s="54">
        <v>37</v>
      </c>
      <c r="P21" s="54"/>
      <c r="Q21" s="54"/>
      <c r="R21" s="54"/>
      <c r="S21" s="54"/>
      <c r="T21" s="54"/>
      <c r="U21" s="54">
        <v>0.9</v>
      </c>
      <c r="V21" s="54"/>
      <c r="W21" s="54"/>
      <c r="X21" s="66">
        <f t="shared" si="0"/>
        <v>0.9</v>
      </c>
      <c r="Y21" s="72">
        <v>1551</v>
      </c>
      <c r="Z21" s="192" t="str">
        <f t="shared" si="1"/>
        <v>F</v>
      </c>
      <c r="AA21" s="172" t="s">
        <v>1396</v>
      </c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</row>
    <row r="22" spans="1:38" s="45" customFormat="1">
      <c r="A22" s="172"/>
      <c r="B22" s="73" t="s">
        <v>766</v>
      </c>
      <c r="C22" s="54">
        <v>2013</v>
      </c>
      <c r="D22" s="66"/>
      <c r="E22" s="56" t="s">
        <v>172</v>
      </c>
      <c r="F22" s="54">
        <v>2011</v>
      </c>
      <c r="G22" s="54" t="s">
        <v>631</v>
      </c>
      <c r="H22" s="66" t="s">
        <v>159</v>
      </c>
      <c r="I22" s="66" t="s">
        <v>1014</v>
      </c>
      <c r="J22" s="74" t="s">
        <v>1013</v>
      </c>
      <c r="K22" s="54" t="s">
        <v>1091</v>
      </c>
      <c r="L22" s="54" t="s">
        <v>974</v>
      </c>
      <c r="M22" s="172"/>
      <c r="N22" s="172"/>
      <c r="O22" s="66" t="s">
        <v>972</v>
      </c>
      <c r="P22" s="172"/>
      <c r="Q22" s="172"/>
      <c r="R22" s="172"/>
      <c r="S22" s="172"/>
      <c r="T22" s="172"/>
      <c r="U22" s="54">
        <v>0.9</v>
      </c>
      <c r="V22" s="172"/>
      <c r="W22" s="172"/>
      <c r="X22" s="66">
        <f t="shared" si="0"/>
        <v>0.9</v>
      </c>
      <c r="Y22" s="72">
        <v>1637</v>
      </c>
      <c r="Z22" s="192" t="str">
        <f t="shared" si="1"/>
        <v>F</v>
      </c>
      <c r="AA22" s="172" t="s">
        <v>1396</v>
      </c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</row>
    <row r="23" spans="1:38" s="45" customFormat="1">
      <c r="A23" s="172"/>
      <c r="B23" s="73" t="s">
        <v>766</v>
      </c>
      <c r="C23" s="54">
        <v>2013</v>
      </c>
      <c r="D23" s="66"/>
      <c r="E23" s="56" t="s">
        <v>172</v>
      </c>
      <c r="F23" s="54">
        <v>2011</v>
      </c>
      <c r="G23" s="54" t="s">
        <v>631</v>
      </c>
      <c r="H23" s="66" t="s">
        <v>159</v>
      </c>
      <c r="I23" s="66" t="s">
        <v>1014</v>
      </c>
      <c r="J23" s="74" t="s">
        <v>1013</v>
      </c>
      <c r="K23" s="54" t="s">
        <v>1091</v>
      </c>
      <c r="L23" s="54" t="s">
        <v>975</v>
      </c>
      <c r="M23" s="172"/>
      <c r="N23" s="172"/>
      <c r="O23" s="66" t="s">
        <v>976</v>
      </c>
      <c r="P23" s="172"/>
      <c r="Q23" s="172"/>
      <c r="R23" s="172"/>
      <c r="S23" s="172"/>
      <c r="T23" s="172"/>
      <c r="U23" s="54">
        <v>0.89900000000000002</v>
      </c>
      <c r="V23" s="172"/>
      <c r="W23" s="172"/>
      <c r="X23" s="66">
        <f t="shared" si="0"/>
        <v>0.89900000000000002</v>
      </c>
      <c r="Y23" s="72">
        <v>1632</v>
      </c>
      <c r="Z23" s="192" t="str">
        <f t="shared" si="1"/>
        <v>S</v>
      </c>
      <c r="AA23" s="172" t="s">
        <v>1396</v>
      </c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</row>
    <row r="24" spans="1:38" s="45" customFormat="1">
      <c r="A24" s="172"/>
      <c r="B24" s="73" t="s">
        <v>766</v>
      </c>
      <c r="C24" s="54">
        <v>2013</v>
      </c>
      <c r="D24" s="66"/>
      <c r="E24" s="56" t="s">
        <v>172</v>
      </c>
      <c r="F24" s="54">
        <v>2011</v>
      </c>
      <c r="G24" s="54" t="s">
        <v>631</v>
      </c>
      <c r="H24" s="66" t="s">
        <v>159</v>
      </c>
      <c r="I24" s="66" t="s">
        <v>1014</v>
      </c>
      <c r="J24" s="74" t="s">
        <v>1013</v>
      </c>
      <c r="K24" s="54" t="s">
        <v>1091</v>
      </c>
      <c r="L24" s="54" t="s">
        <v>974</v>
      </c>
      <c r="M24" s="172"/>
      <c r="N24" s="172"/>
      <c r="O24" s="66" t="s">
        <v>972</v>
      </c>
      <c r="P24" s="172"/>
      <c r="Q24" s="172"/>
      <c r="R24" s="172"/>
      <c r="S24" s="172"/>
      <c r="T24" s="172"/>
      <c r="U24" s="54">
        <v>0.89800000000000002</v>
      </c>
      <c r="V24" s="172"/>
      <c r="W24" s="172"/>
      <c r="X24" s="66">
        <f t="shared" si="0"/>
        <v>0.89800000000000002</v>
      </c>
      <c r="Y24" s="72">
        <v>1631</v>
      </c>
      <c r="Z24" s="192" t="str">
        <f t="shared" si="1"/>
        <v>S</v>
      </c>
      <c r="AA24" s="172" t="s">
        <v>1396</v>
      </c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</row>
    <row r="25" spans="1:38" s="45" customFormat="1">
      <c r="A25" s="172"/>
      <c r="B25" s="73" t="s">
        <v>766</v>
      </c>
      <c r="C25" s="54">
        <v>2013</v>
      </c>
      <c r="D25" s="66"/>
      <c r="E25" s="56" t="s">
        <v>172</v>
      </c>
      <c r="F25" s="54">
        <v>2011</v>
      </c>
      <c r="G25" s="54" t="s">
        <v>631</v>
      </c>
      <c r="H25" s="66" t="s">
        <v>159</v>
      </c>
      <c r="I25" s="66" t="s">
        <v>1014</v>
      </c>
      <c r="J25" s="74" t="s">
        <v>1013</v>
      </c>
      <c r="K25" s="54" t="s">
        <v>1091</v>
      </c>
      <c r="L25" s="54" t="s">
        <v>978</v>
      </c>
      <c r="M25" s="172"/>
      <c r="N25" s="172"/>
      <c r="O25" s="66" t="s">
        <v>977</v>
      </c>
      <c r="P25" s="172"/>
      <c r="Q25" s="172"/>
      <c r="R25" s="172"/>
      <c r="S25" s="172"/>
      <c r="T25" s="172"/>
      <c r="U25" s="54">
        <v>0.89700000000000002</v>
      </c>
      <c r="V25" s="172"/>
      <c r="W25" s="172"/>
      <c r="X25" s="66">
        <f t="shared" si="0"/>
        <v>0.89700000000000002</v>
      </c>
      <c r="Y25" s="72">
        <v>1629</v>
      </c>
      <c r="Z25" s="192" t="str">
        <f t="shared" si="1"/>
        <v>S</v>
      </c>
      <c r="AA25" s="172" t="s">
        <v>1396</v>
      </c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</row>
    <row r="26" spans="1:38" s="45" customFormat="1">
      <c r="A26" s="172"/>
      <c r="B26" s="73" t="s">
        <v>766</v>
      </c>
      <c r="C26" s="54">
        <v>2013</v>
      </c>
      <c r="D26" s="66"/>
      <c r="E26" s="56" t="s">
        <v>172</v>
      </c>
      <c r="F26" s="54">
        <v>2011</v>
      </c>
      <c r="G26" s="54" t="s">
        <v>631</v>
      </c>
      <c r="H26" s="66" t="s">
        <v>159</v>
      </c>
      <c r="I26" s="66" t="s">
        <v>1014</v>
      </c>
      <c r="J26" s="74" t="s">
        <v>1013</v>
      </c>
      <c r="K26" s="54" t="s">
        <v>1091</v>
      </c>
      <c r="L26" s="54" t="s">
        <v>975</v>
      </c>
      <c r="M26" s="172"/>
      <c r="N26" s="172"/>
      <c r="O26" s="66" t="s">
        <v>976</v>
      </c>
      <c r="P26" s="172"/>
      <c r="Q26" s="172"/>
      <c r="R26" s="172"/>
      <c r="S26" s="172"/>
      <c r="T26" s="172"/>
      <c r="U26" s="54">
        <v>0.89500000000000002</v>
      </c>
      <c r="V26" s="172"/>
      <c r="W26" s="172"/>
      <c r="X26" s="66">
        <f t="shared" si="0"/>
        <v>0.89500000000000002</v>
      </c>
      <c r="Y26" s="72">
        <v>1624</v>
      </c>
      <c r="Z26" s="192" t="str">
        <f t="shared" si="1"/>
        <v>S</v>
      </c>
      <c r="AA26" s="172" t="s">
        <v>1396</v>
      </c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</row>
    <row r="27" spans="1:38" s="45" customFormat="1">
      <c r="A27" s="172"/>
      <c r="B27" s="73" t="s">
        <v>766</v>
      </c>
      <c r="C27" s="54">
        <v>2013</v>
      </c>
      <c r="D27" s="66"/>
      <c r="E27" s="56" t="s">
        <v>172</v>
      </c>
      <c r="F27" s="54">
        <v>2011</v>
      </c>
      <c r="G27" s="54" t="s">
        <v>631</v>
      </c>
      <c r="H27" s="66" t="s">
        <v>159</v>
      </c>
      <c r="I27" s="66" t="s">
        <v>1014</v>
      </c>
      <c r="J27" s="74" t="s">
        <v>1013</v>
      </c>
      <c r="K27" s="54" t="s">
        <v>1091</v>
      </c>
      <c r="L27" s="54" t="s">
        <v>978</v>
      </c>
      <c r="M27" s="172"/>
      <c r="N27" s="172"/>
      <c r="O27" s="66" t="s">
        <v>977</v>
      </c>
      <c r="P27" s="172"/>
      <c r="Q27" s="172"/>
      <c r="R27" s="172"/>
      <c r="S27" s="172"/>
      <c r="T27" s="172"/>
      <c r="U27" s="54">
        <v>0.89500000000000002</v>
      </c>
      <c r="V27" s="172"/>
      <c r="W27" s="172"/>
      <c r="X27" s="66">
        <f t="shared" si="0"/>
        <v>0.89500000000000002</v>
      </c>
      <c r="Y27" s="72">
        <v>1625</v>
      </c>
      <c r="Z27" s="192" t="str">
        <f t="shared" si="1"/>
        <v>S</v>
      </c>
      <c r="AA27" s="172" t="s">
        <v>1396</v>
      </c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</row>
    <row r="28" spans="1:38" s="45" customFormat="1">
      <c r="A28" s="172"/>
      <c r="B28" s="73" t="s">
        <v>766</v>
      </c>
      <c r="C28" s="54">
        <v>2013</v>
      </c>
      <c r="D28" s="66"/>
      <c r="E28" s="56" t="s">
        <v>172</v>
      </c>
      <c r="F28" s="54">
        <v>2011</v>
      </c>
      <c r="G28" s="54" t="s">
        <v>631</v>
      </c>
      <c r="H28" s="66" t="s">
        <v>159</v>
      </c>
      <c r="I28" s="66" t="s">
        <v>1014</v>
      </c>
      <c r="J28" s="74" t="s">
        <v>1013</v>
      </c>
      <c r="K28" s="54" t="s">
        <v>1091</v>
      </c>
      <c r="L28" s="54" t="s">
        <v>975</v>
      </c>
      <c r="M28" s="172"/>
      <c r="N28" s="172"/>
      <c r="O28" s="66" t="s">
        <v>976</v>
      </c>
      <c r="P28" s="172"/>
      <c r="Q28" s="172"/>
      <c r="R28" s="172"/>
      <c r="S28" s="172"/>
      <c r="T28" s="172"/>
      <c r="U28" s="54">
        <v>0.89400000000000002</v>
      </c>
      <c r="V28" s="172"/>
      <c r="W28" s="172"/>
      <c r="X28" s="66">
        <f t="shared" si="0"/>
        <v>0.89400000000000002</v>
      </c>
      <c r="Y28" s="72">
        <v>1621</v>
      </c>
      <c r="Z28" s="192" t="str">
        <f t="shared" si="1"/>
        <v>S</v>
      </c>
      <c r="AA28" s="172" t="s">
        <v>1396</v>
      </c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</row>
    <row r="29" spans="1:38" s="45" customFormat="1">
      <c r="A29" s="172"/>
      <c r="B29" s="73" t="s">
        <v>766</v>
      </c>
      <c r="C29" s="54">
        <v>2013</v>
      </c>
      <c r="D29" s="66"/>
      <c r="E29" s="56" t="s">
        <v>172</v>
      </c>
      <c r="F29" s="54">
        <v>2011</v>
      </c>
      <c r="G29" s="54" t="s">
        <v>631</v>
      </c>
      <c r="H29" s="66" t="s">
        <v>159</v>
      </c>
      <c r="I29" s="66" t="s">
        <v>1014</v>
      </c>
      <c r="J29" s="74" t="s">
        <v>1013</v>
      </c>
      <c r="K29" s="54" t="s">
        <v>1091</v>
      </c>
      <c r="L29" s="54" t="s">
        <v>974</v>
      </c>
      <c r="M29" s="172"/>
      <c r="N29" s="172"/>
      <c r="O29" s="66" t="s">
        <v>972</v>
      </c>
      <c r="P29" s="172"/>
      <c r="Q29" s="172"/>
      <c r="R29" s="172"/>
      <c r="S29" s="172"/>
      <c r="T29" s="172"/>
      <c r="U29" s="54">
        <v>0.89200000000000002</v>
      </c>
      <c r="V29" s="172"/>
      <c r="W29" s="172"/>
      <c r="X29" s="66">
        <f t="shared" si="0"/>
        <v>0.89200000000000002</v>
      </c>
      <c r="Y29" s="72">
        <v>1619</v>
      </c>
      <c r="Z29" s="192" t="str">
        <f t="shared" si="1"/>
        <v>S</v>
      </c>
      <c r="AA29" s="172" t="s">
        <v>1396</v>
      </c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</row>
    <row r="30" spans="1:38" s="45" customFormat="1">
      <c r="A30" s="172"/>
      <c r="B30" s="73" t="s">
        <v>766</v>
      </c>
      <c r="C30" s="54">
        <v>2013</v>
      </c>
      <c r="D30" s="66"/>
      <c r="E30" s="56" t="s">
        <v>172</v>
      </c>
      <c r="F30" s="54">
        <v>2011</v>
      </c>
      <c r="G30" s="54" t="s">
        <v>631</v>
      </c>
      <c r="H30" s="66" t="s">
        <v>159</v>
      </c>
      <c r="I30" s="66" t="s">
        <v>1014</v>
      </c>
      <c r="J30" s="74" t="s">
        <v>1013</v>
      </c>
      <c r="K30" s="54" t="s">
        <v>1091</v>
      </c>
      <c r="L30" s="54" t="s">
        <v>974</v>
      </c>
      <c r="M30" s="172"/>
      <c r="N30" s="172"/>
      <c r="O30" s="66" t="s">
        <v>972</v>
      </c>
      <c r="P30" s="172"/>
      <c r="Q30" s="172"/>
      <c r="R30" s="172"/>
      <c r="S30" s="172"/>
      <c r="T30" s="172"/>
      <c r="U30" s="54">
        <v>0.89200000000000002</v>
      </c>
      <c r="V30" s="172"/>
      <c r="W30" s="172"/>
      <c r="X30" s="66">
        <f t="shared" si="0"/>
        <v>0.89200000000000002</v>
      </c>
      <c r="Y30" s="72">
        <v>1620</v>
      </c>
      <c r="Z30" s="192" t="str">
        <f t="shared" si="1"/>
        <v>S</v>
      </c>
      <c r="AA30" s="172" t="s">
        <v>1396</v>
      </c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</row>
    <row r="31" spans="1:38" s="45" customFormat="1">
      <c r="A31" s="53">
        <v>203</v>
      </c>
      <c r="B31" s="73" t="s">
        <v>940</v>
      </c>
      <c r="C31" s="54">
        <v>2011</v>
      </c>
      <c r="D31" s="73" t="s">
        <v>941</v>
      </c>
      <c r="E31" s="56" t="s">
        <v>20</v>
      </c>
      <c r="F31" s="54">
        <v>2009</v>
      </c>
      <c r="G31" s="54" t="s">
        <v>326</v>
      </c>
      <c r="H31" s="54"/>
      <c r="I31" s="54"/>
      <c r="J31" s="172" t="s">
        <v>1013</v>
      </c>
      <c r="K31" s="54" t="s">
        <v>1091</v>
      </c>
      <c r="L31" s="54" t="s">
        <v>725</v>
      </c>
      <c r="M31" s="54"/>
      <c r="N31" s="54"/>
      <c r="O31" s="54">
        <v>61</v>
      </c>
      <c r="P31" s="54"/>
      <c r="Q31" s="54"/>
      <c r="R31" s="54"/>
      <c r="S31" s="54"/>
      <c r="T31" s="54"/>
      <c r="U31" s="54">
        <v>0.89</v>
      </c>
      <c r="V31" s="54"/>
      <c r="W31" s="54"/>
      <c r="X31" s="66">
        <f t="shared" si="0"/>
        <v>0.89</v>
      </c>
      <c r="Y31" s="72">
        <v>1656</v>
      </c>
      <c r="Z31" s="192" t="str">
        <f t="shared" si="1"/>
        <v>S</v>
      </c>
      <c r="AA31" s="172" t="s">
        <v>1396</v>
      </c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</row>
    <row r="32" spans="1:38" s="45" customFormat="1">
      <c r="A32" s="172"/>
      <c r="B32" s="73" t="s">
        <v>766</v>
      </c>
      <c r="C32" s="54">
        <v>2013</v>
      </c>
      <c r="D32" s="66"/>
      <c r="E32" s="56" t="s">
        <v>172</v>
      </c>
      <c r="F32" s="54">
        <v>2011</v>
      </c>
      <c r="G32" s="54" t="s">
        <v>631</v>
      </c>
      <c r="H32" s="66" t="s">
        <v>159</v>
      </c>
      <c r="I32" s="66" t="s">
        <v>1014</v>
      </c>
      <c r="J32" s="74" t="s">
        <v>1013</v>
      </c>
      <c r="K32" s="54" t="s">
        <v>1091</v>
      </c>
      <c r="L32" s="54" t="s">
        <v>975</v>
      </c>
      <c r="M32" s="172"/>
      <c r="N32" s="172"/>
      <c r="O32" s="66" t="s">
        <v>976</v>
      </c>
      <c r="P32" s="172"/>
      <c r="Q32" s="172"/>
      <c r="R32" s="172"/>
      <c r="S32" s="172"/>
      <c r="T32" s="172"/>
      <c r="U32" s="54">
        <v>0.89</v>
      </c>
      <c r="V32" s="172"/>
      <c r="W32" s="172"/>
      <c r="X32" s="66">
        <f t="shared" si="0"/>
        <v>0.89</v>
      </c>
      <c r="Y32" s="72">
        <v>1612</v>
      </c>
      <c r="Z32" s="192" t="str">
        <f t="shared" si="1"/>
        <v>S</v>
      </c>
      <c r="AA32" s="172" t="s">
        <v>1396</v>
      </c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</row>
    <row r="33" spans="1:38" s="45" customFormat="1">
      <c r="A33" s="172"/>
      <c r="B33" s="73" t="s">
        <v>766</v>
      </c>
      <c r="C33" s="54">
        <v>2013</v>
      </c>
      <c r="D33" s="66"/>
      <c r="E33" s="56" t="s">
        <v>172</v>
      </c>
      <c r="F33" s="54">
        <v>2011</v>
      </c>
      <c r="G33" s="54" t="s">
        <v>631</v>
      </c>
      <c r="H33" s="66" t="s">
        <v>159</v>
      </c>
      <c r="I33" s="66" t="s">
        <v>1014</v>
      </c>
      <c r="J33" s="74" t="s">
        <v>1013</v>
      </c>
      <c r="K33" s="54" t="s">
        <v>1091</v>
      </c>
      <c r="L33" s="54" t="s">
        <v>974</v>
      </c>
      <c r="M33" s="172"/>
      <c r="N33" s="172"/>
      <c r="O33" s="66" t="s">
        <v>972</v>
      </c>
      <c r="P33" s="172"/>
      <c r="Q33" s="172"/>
      <c r="R33" s="172"/>
      <c r="S33" s="172"/>
      <c r="T33" s="172"/>
      <c r="U33" s="54">
        <v>0.89</v>
      </c>
      <c r="V33" s="172"/>
      <c r="W33" s="172"/>
      <c r="X33" s="66">
        <f t="shared" si="0"/>
        <v>0.89</v>
      </c>
      <c r="Y33" s="72">
        <v>1615</v>
      </c>
      <c r="Z33" s="192" t="str">
        <f t="shared" si="1"/>
        <v>S</v>
      </c>
      <c r="AA33" s="172" t="s">
        <v>1396</v>
      </c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</row>
    <row r="34" spans="1:38" s="45" customFormat="1">
      <c r="A34" s="172"/>
      <c r="B34" s="73" t="s">
        <v>766</v>
      </c>
      <c r="C34" s="54">
        <v>2013</v>
      </c>
      <c r="D34" s="66"/>
      <c r="E34" s="56" t="s">
        <v>172</v>
      </c>
      <c r="F34" s="54">
        <v>2011</v>
      </c>
      <c r="G34" s="54" t="s">
        <v>631</v>
      </c>
      <c r="H34" s="66" t="s">
        <v>159</v>
      </c>
      <c r="I34" s="66" t="s">
        <v>1014</v>
      </c>
      <c r="J34" s="74" t="s">
        <v>1013</v>
      </c>
      <c r="K34" s="54" t="s">
        <v>1091</v>
      </c>
      <c r="L34" s="54" t="s">
        <v>974</v>
      </c>
      <c r="M34" s="172"/>
      <c r="N34" s="172"/>
      <c r="O34" s="66" t="s">
        <v>972</v>
      </c>
      <c r="P34" s="172"/>
      <c r="Q34" s="172"/>
      <c r="R34" s="172"/>
      <c r="S34" s="172"/>
      <c r="T34" s="172"/>
      <c r="U34" s="54">
        <v>0.89</v>
      </c>
      <c r="V34" s="172"/>
      <c r="W34" s="172"/>
      <c r="X34" s="66">
        <f t="shared" si="0"/>
        <v>0.89</v>
      </c>
      <c r="Y34" s="72">
        <v>1615</v>
      </c>
      <c r="Z34" s="192" t="str">
        <f t="shared" ref="Z34:Z65" si="2">IF(X34&lt;&gt;"",IF(X34&lt;0.9,"S","F"),"")</f>
        <v>S</v>
      </c>
      <c r="AA34" s="172" t="s">
        <v>1396</v>
      </c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</row>
    <row r="35" spans="1:38" s="45" customFormat="1">
      <c r="A35" s="172"/>
      <c r="B35" s="73" t="s">
        <v>766</v>
      </c>
      <c r="C35" s="54">
        <v>2013</v>
      </c>
      <c r="D35" s="66"/>
      <c r="E35" s="56" t="s">
        <v>172</v>
      </c>
      <c r="F35" s="54">
        <v>2011</v>
      </c>
      <c r="G35" s="54" t="s">
        <v>631</v>
      </c>
      <c r="H35" s="66" t="s">
        <v>159</v>
      </c>
      <c r="I35" s="66" t="s">
        <v>1014</v>
      </c>
      <c r="J35" s="74" t="s">
        <v>1013</v>
      </c>
      <c r="K35" s="54" t="s">
        <v>1091</v>
      </c>
      <c r="L35" s="54" t="s">
        <v>978</v>
      </c>
      <c r="M35" s="172"/>
      <c r="N35" s="172"/>
      <c r="O35" s="66" t="s">
        <v>977</v>
      </c>
      <c r="P35" s="172"/>
      <c r="Q35" s="172"/>
      <c r="R35" s="172"/>
      <c r="S35" s="172"/>
      <c r="T35" s="172"/>
      <c r="U35" s="54">
        <v>0.88900000000000001</v>
      </c>
      <c r="V35" s="172"/>
      <c r="W35" s="172"/>
      <c r="X35" s="66">
        <f t="shared" si="0"/>
        <v>0.88900000000000001</v>
      </c>
      <c r="Y35" s="72">
        <v>1612</v>
      </c>
      <c r="Z35" s="192" t="str">
        <f t="shared" si="2"/>
        <v>S</v>
      </c>
      <c r="AA35" s="172" t="s">
        <v>1396</v>
      </c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</row>
    <row r="36" spans="1:38" s="45" customFormat="1">
      <c r="A36" s="172"/>
      <c r="B36" s="73" t="s">
        <v>766</v>
      </c>
      <c r="C36" s="54">
        <v>2013</v>
      </c>
      <c r="D36" s="66"/>
      <c r="E36" s="56" t="s">
        <v>172</v>
      </c>
      <c r="F36" s="54">
        <v>2011</v>
      </c>
      <c r="G36" s="54" t="s">
        <v>631</v>
      </c>
      <c r="H36" s="66" t="s">
        <v>159</v>
      </c>
      <c r="I36" s="66" t="s">
        <v>1014</v>
      </c>
      <c r="J36" s="74" t="s">
        <v>1013</v>
      </c>
      <c r="K36" s="54" t="s">
        <v>1091</v>
      </c>
      <c r="L36" s="54" t="s">
        <v>974</v>
      </c>
      <c r="M36" s="172"/>
      <c r="N36" s="172"/>
      <c r="O36" s="66" t="s">
        <v>972</v>
      </c>
      <c r="P36" s="172"/>
      <c r="Q36" s="172"/>
      <c r="R36" s="172"/>
      <c r="S36" s="172"/>
      <c r="T36" s="172"/>
      <c r="U36" s="54">
        <v>0.88900000000000001</v>
      </c>
      <c r="V36" s="172"/>
      <c r="W36" s="172"/>
      <c r="X36" s="66">
        <f t="shared" si="0"/>
        <v>0.88900000000000001</v>
      </c>
      <c r="Y36" s="72">
        <v>1613</v>
      </c>
      <c r="Z36" s="192" t="str">
        <f t="shared" si="2"/>
        <v>S</v>
      </c>
      <c r="AA36" s="172" t="s">
        <v>1396</v>
      </c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</row>
    <row r="37" spans="1:38" s="45" customFormat="1">
      <c r="A37" s="172"/>
      <c r="B37" s="73" t="s">
        <v>766</v>
      </c>
      <c r="C37" s="54">
        <v>2013</v>
      </c>
      <c r="D37" s="66"/>
      <c r="E37" s="56" t="s">
        <v>172</v>
      </c>
      <c r="F37" s="54">
        <v>2011</v>
      </c>
      <c r="G37" s="54" t="s">
        <v>631</v>
      </c>
      <c r="H37" s="66" t="s">
        <v>159</v>
      </c>
      <c r="I37" s="66" t="s">
        <v>1014</v>
      </c>
      <c r="J37" s="74" t="s">
        <v>1013</v>
      </c>
      <c r="K37" s="54" t="s">
        <v>1091</v>
      </c>
      <c r="L37" s="54" t="s">
        <v>978</v>
      </c>
      <c r="M37" s="172"/>
      <c r="N37" s="172"/>
      <c r="O37" s="66" t="s">
        <v>977</v>
      </c>
      <c r="P37" s="172"/>
      <c r="Q37" s="172"/>
      <c r="R37" s="172"/>
      <c r="S37" s="172"/>
      <c r="T37" s="172"/>
      <c r="U37" s="54">
        <v>0.88600000000000001</v>
      </c>
      <c r="V37" s="172"/>
      <c r="W37" s="172"/>
      <c r="X37" s="66">
        <f t="shared" si="0"/>
        <v>0.88600000000000001</v>
      </c>
      <c r="Y37" s="72">
        <v>1607</v>
      </c>
      <c r="Z37" s="192" t="str">
        <f t="shared" si="2"/>
        <v>S</v>
      </c>
      <c r="AA37" s="172" t="s">
        <v>1396</v>
      </c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</row>
    <row r="38" spans="1:38" s="45" customFormat="1">
      <c r="A38" s="172"/>
      <c r="B38" s="73" t="s">
        <v>766</v>
      </c>
      <c r="C38" s="54">
        <v>2013</v>
      </c>
      <c r="D38" s="66"/>
      <c r="E38" s="56" t="s">
        <v>172</v>
      </c>
      <c r="F38" s="54">
        <v>2011</v>
      </c>
      <c r="G38" s="54" t="s">
        <v>631</v>
      </c>
      <c r="H38" s="66" t="s">
        <v>159</v>
      </c>
      <c r="I38" s="66" t="s">
        <v>1014</v>
      </c>
      <c r="J38" s="74" t="s">
        <v>1013</v>
      </c>
      <c r="K38" s="54" t="s">
        <v>1091</v>
      </c>
      <c r="L38" s="54" t="s">
        <v>974</v>
      </c>
      <c r="M38" s="172"/>
      <c r="N38" s="172"/>
      <c r="O38" s="66" t="s">
        <v>972</v>
      </c>
      <c r="P38" s="172"/>
      <c r="Q38" s="172"/>
      <c r="R38" s="172"/>
      <c r="S38" s="172"/>
      <c r="T38" s="172"/>
      <c r="U38" s="54">
        <v>0.88600000000000001</v>
      </c>
      <c r="V38" s="172"/>
      <c r="W38" s="172"/>
      <c r="X38" s="66">
        <f t="shared" si="0"/>
        <v>0.88600000000000001</v>
      </c>
      <c r="Y38" s="72">
        <v>1608</v>
      </c>
      <c r="Z38" s="192" t="str">
        <f t="shared" si="2"/>
        <v>S</v>
      </c>
      <c r="AA38" s="172" t="s">
        <v>1396</v>
      </c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</row>
    <row r="39" spans="1:38" s="45" customFormat="1">
      <c r="A39" s="172"/>
      <c r="B39" s="73" t="s">
        <v>766</v>
      </c>
      <c r="C39" s="54">
        <v>2013</v>
      </c>
      <c r="D39" s="66"/>
      <c r="E39" s="56" t="s">
        <v>172</v>
      </c>
      <c r="F39" s="54">
        <v>2011</v>
      </c>
      <c r="G39" s="54" t="s">
        <v>631</v>
      </c>
      <c r="H39" s="66" t="s">
        <v>159</v>
      </c>
      <c r="I39" s="66" t="s">
        <v>1014</v>
      </c>
      <c r="J39" s="74" t="s">
        <v>1013</v>
      </c>
      <c r="K39" s="54" t="s">
        <v>1091</v>
      </c>
      <c r="L39" s="54" t="s">
        <v>978</v>
      </c>
      <c r="M39" s="172"/>
      <c r="N39" s="172"/>
      <c r="O39" s="66" t="s">
        <v>977</v>
      </c>
      <c r="P39" s="172"/>
      <c r="Q39" s="172"/>
      <c r="R39" s="172"/>
      <c r="S39" s="172"/>
      <c r="T39" s="172"/>
      <c r="U39" s="54">
        <v>0.88500000000000001</v>
      </c>
      <c r="V39" s="172"/>
      <c r="W39" s="172"/>
      <c r="X39" s="66">
        <f t="shared" si="0"/>
        <v>0.88500000000000001</v>
      </c>
      <c r="Y39" s="72">
        <v>1603</v>
      </c>
      <c r="Z39" s="192" t="str">
        <f t="shared" si="2"/>
        <v>S</v>
      </c>
      <c r="AA39" s="172" t="s">
        <v>1396</v>
      </c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</row>
    <row r="40" spans="1:38" s="45" customFormat="1">
      <c r="A40" s="172"/>
      <c r="B40" s="73" t="s">
        <v>766</v>
      </c>
      <c r="C40" s="54">
        <v>2013</v>
      </c>
      <c r="D40" s="66"/>
      <c r="E40" s="56" t="s">
        <v>172</v>
      </c>
      <c r="F40" s="54">
        <v>2011</v>
      </c>
      <c r="G40" s="54" t="s">
        <v>631</v>
      </c>
      <c r="H40" s="66" t="s">
        <v>159</v>
      </c>
      <c r="I40" s="66" t="s">
        <v>1014</v>
      </c>
      <c r="J40" s="74" t="s">
        <v>1013</v>
      </c>
      <c r="K40" s="54" t="s">
        <v>1091</v>
      </c>
      <c r="L40" s="54" t="s">
        <v>974</v>
      </c>
      <c r="M40" s="172"/>
      <c r="N40" s="172"/>
      <c r="O40" s="66" t="s">
        <v>972</v>
      </c>
      <c r="P40" s="172"/>
      <c r="Q40" s="172"/>
      <c r="R40" s="172"/>
      <c r="S40" s="172"/>
      <c r="T40" s="172"/>
      <c r="U40" s="54">
        <v>0.88500000000000001</v>
      </c>
      <c r="V40" s="172"/>
      <c r="W40" s="172"/>
      <c r="X40" s="66">
        <f t="shared" si="0"/>
        <v>0.88500000000000001</v>
      </c>
      <c r="Y40" s="72">
        <v>1605</v>
      </c>
      <c r="Z40" s="192" t="str">
        <f t="shared" si="2"/>
        <v>S</v>
      </c>
      <c r="AA40" s="172" t="s">
        <v>1396</v>
      </c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</row>
    <row r="41" spans="1:38" s="45" customFormat="1">
      <c r="A41" s="172"/>
      <c r="B41" s="73" t="s">
        <v>766</v>
      </c>
      <c r="C41" s="54">
        <v>2013</v>
      </c>
      <c r="D41" s="66"/>
      <c r="E41" s="56" t="s">
        <v>172</v>
      </c>
      <c r="F41" s="54">
        <v>2011</v>
      </c>
      <c r="G41" s="54" t="s">
        <v>631</v>
      </c>
      <c r="H41" s="66" t="s">
        <v>159</v>
      </c>
      <c r="I41" s="66" t="s">
        <v>1014</v>
      </c>
      <c r="J41" s="74" t="s">
        <v>1013</v>
      </c>
      <c r="K41" s="54" t="s">
        <v>1091</v>
      </c>
      <c r="L41" s="54" t="s">
        <v>974</v>
      </c>
      <c r="M41" s="172"/>
      <c r="N41" s="172"/>
      <c r="O41" s="66" t="s">
        <v>972</v>
      </c>
      <c r="P41" s="172"/>
      <c r="Q41" s="172"/>
      <c r="R41" s="172"/>
      <c r="S41" s="172"/>
      <c r="T41" s="172"/>
      <c r="U41" s="54">
        <v>0.88400000000000001</v>
      </c>
      <c r="V41" s="172"/>
      <c r="W41" s="172"/>
      <c r="X41" s="66">
        <f t="shared" si="0"/>
        <v>0.88400000000000001</v>
      </c>
      <c r="Y41" s="72">
        <v>1601</v>
      </c>
      <c r="Z41" s="192" t="str">
        <f t="shared" si="2"/>
        <v>S</v>
      </c>
      <c r="AA41" s="172" t="s">
        <v>1396</v>
      </c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</row>
    <row r="42" spans="1:38" s="45" customFormat="1">
      <c r="A42" s="172"/>
      <c r="B42" s="73" t="s">
        <v>766</v>
      </c>
      <c r="C42" s="54">
        <v>2013</v>
      </c>
      <c r="D42" s="66"/>
      <c r="E42" s="56" t="s">
        <v>172</v>
      </c>
      <c r="F42" s="54">
        <v>2011</v>
      </c>
      <c r="G42" s="54" t="s">
        <v>631</v>
      </c>
      <c r="H42" s="66" t="s">
        <v>159</v>
      </c>
      <c r="I42" s="66" t="s">
        <v>1014</v>
      </c>
      <c r="J42" s="74" t="s">
        <v>1013</v>
      </c>
      <c r="K42" s="54" t="s">
        <v>1091</v>
      </c>
      <c r="L42" s="54" t="s">
        <v>974</v>
      </c>
      <c r="M42" s="172"/>
      <c r="N42" s="172"/>
      <c r="O42" s="66" t="s">
        <v>972</v>
      </c>
      <c r="P42" s="172"/>
      <c r="Q42" s="172"/>
      <c r="R42" s="172"/>
      <c r="S42" s="172"/>
      <c r="T42" s="172"/>
      <c r="U42" s="54">
        <v>0.88400000000000001</v>
      </c>
      <c r="V42" s="172"/>
      <c r="W42" s="172"/>
      <c r="X42" s="66">
        <f t="shared" si="0"/>
        <v>0.88400000000000001</v>
      </c>
      <c r="Y42" s="72">
        <v>1605</v>
      </c>
      <c r="Z42" s="192" t="str">
        <f t="shared" si="2"/>
        <v>S</v>
      </c>
      <c r="AA42" s="172" t="s">
        <v>1396</v>
      </c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</row>
    <row r="43" spans="1:38" s="45" customFormat="1">
      <c r="A43" s="172"/>
      <c r="B43" s="73" t="s">
        <v>766</v>
      </c>
      <c r="C43" s="54">
        <v>2013</v>
      </c>
      <c r="D43" s="66"/>
      <c r="E43" s="56" t="s">
        <v>172</v>
      </c>
      <c r="F43" s="54">
        <v>2011</v>
      </c>
      <c r="G43" s="54" t="s">
        <v>631</v>
      </c>
      <c r="H43" s="66" t="s">
        <v>159</v>
      </c>
      <c r="I43" s="66" t="s">
        <v>1014</v>
      </c>
      <c r="J43" s="74" t="s">
        <v>1013</v>
      </c>
      <c r="K43" s="54" t="s">
        <v>1091</v>
      </c>
      <c r="L43" s="54" t="s">
        <v>978</v>
      </c>
      <c r="M43" s="172"/>
      <c r="N43" s="172"/>
      <c r="O43" s="66" t="s">
        <v>977</v>
      </c>
      <c r="P43" s="172"/>
      <c r="Q43" s="172"/>
      <c r="R43" s="172"/>
      <c r="S43" s="172"/>
      <c r="T43" s="172"/>
      <c r="U43" s="54">
        <v>0.879</v>
      </c>
      <c r="V43" s="172"/>
      <c r="W43" s="172"/>
      <c r="X43" s="66">
        <f t="shared" si="0"/>
        <v>0.879</v>
      </c>
      <c r="Y43" s="72">
        <v>1596</v>
      </c>
      <c r="Z43" s="192" t="str">
        <f t="shared" si="2"/>
        <v>S</v>
      </c>
      <c r="AA43" s="172" t="s">
        <v>1396</v>
      </c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</row>
    <row r="44" spans="1:38" s="45" customFormat="1">
      <c r="A44" s="172"/>
      <c r="B44" s="73" t="s">
        <v>766</v>
      </c>
      <c r="C44" s="54">
        <v>2013</v>
      </c>
      <c r="D44" s="66"/>
      <c r="E44" s="56" t="s">
        <v>172</v>
      </c>
      <c r="F44" s="54">
        <v>2011</v>
      </c>
      <c r="G44" s="54" t="s">
        <v>631</v>
      </c>
      <c r="H44" s="66" t="s">
        <v>159</v>
      </c>
      <c r="I44" s="66" t="s">
        <v>1014</v>
      </c>
      <c r="J44" s="74" t="s">
        <v>1013</v>
      </c>
      <c r="K44" s="54" t="s">
        <v>1091</v>
      </c>
      <c r="L44" s="54" t="s">
        <v>978</v>
      </c>
      <c r="M44" s="172"/>
      <c r="N44" s="172"/>
      <c r="O44" s="66" t="s">
        <v>977</v>
      </c>
      <c r="P44" s="172"/>
      <c r="Q44" s="172"/>
      <c r="R44" s="172"/>
      <c r="S44" s="172"/>
      <c r="T44" s="172"/>
      <c r="U44" s="54">
        <v>0.878</v>
      </c>
      <c r="V44" s="172"/>
      <c r="W44" s="172"/>
      <c r="X44" s="66">
        <f t="shared" si="0"/>
        <v>0.878</v>
      </c>
      <c r="Y44" s="72">
        <v>1592</v>
      </c>
      <c r="Z44" s="192" t="str">
        <f t="shared" si="2"/>
        <v>S</v>
      </c>
      <c r="AA44" s="172" t="s">
        <v>1396</v>
      </c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</row>
    <row r="45" spans="1:38" s="45" customFormat="1">
      <c r="A45" s="172"/>
      <c r="B45" s="73" t="s">
        <v>766</v>
      </c>
      <c r="C45" s="54">
        <v>2013</v>
      </c>
      <c r="D45" s="66"/>
      <c r="E45" s="56" t="s">
        <v>172</v>
      </c>
      <c r="F45" s="54">
        <v>2011</v>
      </c>
      <c r="G45" s="54" t="s">
        <v>631</v>
      </c>
      <c r="H45" s="66" t="s">
        <v>159</v>
      </c>
      <c r="I45" s="66" t="s">
        <v>1014</v>
      </c>
      <c r="J45" s="74" t="s">
        <v>1013</v>
      </c>
      <c r="K45" s="54" t="s">
        <v>1091</v>
      </c>
      <c r="L45" s="54" t="s">
        <v>978</v>
      </c>
      <c r="M45" s="172"/>
      <c r="N45" s="172"/>
      <c r="O45" s="66" t="s">
        <v>977</v>
      </c>
      <c r="P45" s="172"/>
      <c r="Q45" s="172"/>
      <c r="R45" s="172"/>
      <c r="S45" s="172"/>
      <c r="T45" s="172"/>
      <c r="U45" s="54">
        <v>0.876</v>
      </c>
      <c r="V45" s="172"/>
      <c r="W45" s="172"/>
      <c r="X45" s="66">
        <f t="shared" si="0"/>
        <v>0.876</v>
      </c>
      <c r="Y45" s="72">
        <v>1582</v>
      </c>
      <c r="Z45" s="192" t="str">
        <f t="shared" si="2"/>
        <v>S</v>
      </c>
      <c r="AA45" s="172" t="s">
        <v>1396</v>
      </c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</row>
    <row r="46" spans="1:38" s="45" customFormat="1">
      <c r="A46" s="172"/>
      <c r="B46" s="73" t="s">
        <v>766</v>
      </c>
      <c r="C46" s="54">
        <v>2013</v>
      </c>
      <c r="D46" s="66"/>
      <c r="E46" s="56" t="s">
        <v>172</v>
      </c>
      <c r="F46" s="54">
        <v>2011</v>
      </c>
      <c r="G46" s="54" t="s">
        <v>631</v>
      </c>
      <c r="H46" s="66" t="s">
        <v>159</v>
      </c>
      <c r="I46" s="66" t="s">
        <v>1014</v>
      </c>
      <c r="J46" s="74" t="s">
        <v>1013</v>
      </c>
      <c r="K46" s="54" t="s">
        <v>1091</v>
      </c>
      <c r="L46" s="54" t="s">
        <v>978</v>
      </c>
      <c r="M46" s="172"/>
      <c r="N46" s="172"/>
      <c r="O46" s="66" t="s">
        <v>977</v>
      </c>
      <c r="P46" s="172"/>
      <c r="Q46" s="172"/>
      <c r="R46" s="172"/>
      <c r="S46" s="172"/>
      <c r="T46" s="172"/>
      <c r="U46" s="54">
        <v>0.876</v>
      </c>
      <c r="V46" s="172"/>
      <c r="W46" s="172"/>
      <c r="X46" s="66">
        <f t="shared" si="0"/>
        <v>0.876</v>
      </c>
      <c r="Y46" s="72">
        <v>1587</v>
      </c>
      <c r="Z46" s="192" t="str">
        <f t="shared" si="2"/>
        <v>S</v>
      </c>
      <c r="AA46" s="172" t="s">
        <v>1396</v>
      </c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</row>
    <row r="47" spans="1:38" s="45" customFormat="1">
      <c r="A47" s="172"/>
      <c r="B47" s="73" t="s">
        <v>766</v>
      </c>
      <c r="C47" s="54">
        <v>2013</v>
      </c>
      <c r="D47" s="66"/>
      <c r="E47" s="56" t="s">
        <v>172</v>
      </c>
      <c r="F47" s="54">
        <v>2011</v>
      </c>
      <c r="G47" s="54" t="s">
        <v>631</v>
      </c>
      <c r="H47" s="66" t="s">
        <v>159</v>
      </c>
      <c r="I47" s="66" t="s">
        <v>1014</v>
      </c>
      <c r="J47" s="74" t="s">
        <v>1013</v>
      </c>
      <c r="K47" s="54" t="s">
        <v>1091</v>
      </c>
      <c r="L47" s="54" t="s">
        <v>974</v>
      </c>
      <c r="M47" s="172"/>
      <c r="N47" s="172"/>
      <c r="O47" s="66" t="s">
        <v>972</v>
      </c>
      <c r="P47" s="172"/>
      <c r="Q47" s="172"/>
      <c r="R47" s="172"/>
      <c r="S47" s="172"/>
      <c r="T47" s="172"/>
      <c r="U47" s="54">
        <v>0.876</v>
      </c>
      <c r="V47" s="172"/>
      <c r="W47" s="172"/>
      <c r="X47" s="66">
        <f t="shared" si="0"/>
        <v>0.876</v>
      </c>
      <c r="Y47" s="72">
        <v>1588</v>
      </c>
      <c r="Z47" s="192" t="str">
        <f t="shared" si="2"/>
        <v>S</v>
      </c>
      <c r="AA47" s="172" t="s">
        <v>1396</v>
      </c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</row>
    <row r="48" spans="1:38" s="45" customFormat="1">
      <c r="A48" s="172"/>
      <c r="B48" s="73" t="s">
        <v>766</v>
      </c>
      <c r="C48" s="54">
        <v>2013</v>
      </c>
      <c r="D48" s="66"/>
      <c r="E48" s="56" t="s">
        <v>172</v>
      </c>
      <c r="F48" s="54">
        <v>2011</v>
      </c>
      <c r="G48" s="54" t="s">
        <v>631</v>
      </c>
      <c r="H48" s="66" t="s">
        <v>159</v>
      </c>
      <c r="I48" s="66" t="s">
        <v>1014</v>
      </c>
      <c r="J48" s="74" t="s">
        <v>1013</v>
      </c>
      <c r="K48" s="54" t="s">
        <v>1091</v>
      </c>
      <c r="L48" s="54" t="s">
        <v>978</v>
      </c>
      <c r="M48" s="172"/>
      <c r="N48" s="172"/>
      <c r="O48" s="66" t="s">
        <v>977</v>
      </c>
      <c r="P48" s="172"/>
      <c r="Q48" s="172"/>
      <c r="R48" s="172"/>
      <c r="S48" s="172"/>
      <c r="T48" s="172"/>
      <c r="U48" s="54">
        <v>0.876</v>
      </c>
      <c r="V48" s="172"/>
      <c r="W48" s="172"/>
      <c r="X48" s="66">
        <f t="shared" si="0"/>
        <v>0.876</v>
      </c>
      <c r="Y48" s="72">
        <v>1588</v>
      </c>
      <c r="Z48" s="192" t="str">
        <f t="shared" si="2"/>
        <v>S</v>
      </c>
      <c r="AA48" s="172" t="s">
        <v>1396</v>
      </c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</row>
    <row r="49" spans="1:38" s="45" customFormat="1">
      <c r="A49" s="172"/>
      <c r="B49" s="73" t="s">
        <v>766</v>
      </c>
      <c r="C49" s="54">
        <v>2013</v>
      </c>
      <c r="D49" s="66"/>
      <c r="E49" s="56" t="s">
        <v>172</v>
      </c>
      <c r="F49" s="54">
        <v>2011</v>
      </c>
      <c r="G49" s="54" t="s">
        <v>631</v>
      </c>
      <c r="H49" s="66" t="s">
        <v>159</v>
      </c>
      <c r="I49" s="66" t="s">
        <v>1014</v>
      </c>
      <c r="J49" s="74" t="s">
        <v>1013</v>
      </c>
      <c r="K49" s="54" t="s">
        <v>1091</v>
      </c>
      <c r="L49" s="54" t="s">
        <v>978</v>
      </c>
      <c r="M49" s="172"/>
      <c r="N49" s="172"/>
      <c r="O49" s="66" t="s">
        <v>977</v>
      </c>
      <c r="P49" s="172"/>
      <c r="Q49" s="172"/>
      <c r="R49" s="172"/>
      <c r="S49" s="172"/>
      <c r="T49" s="172"/>
      <c r="U49" s="54">
        <v>0.876</v>
      </c>
      <c r="V49" s="172"/>
      <c r="W49" s="172"/>
      <c r="X49" s="66">
        <f t="shared" si="0"/>
        <v>0.876</v>
      </c>
      <c r="Y49" s="72">
        <v>1590</v>
      </c>
      <c r="Z49" s="192" t="str">
        <f t="shared" si="2"/>
        <v>S</v>
      </c>
      <c r="AA49" s="172" t="s">
        <v>1396</v>
      </c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</row>
    <row r="50" spans="1:38" s="45" customFormat="1">
      <c r="A50" s="172"/>
      <c r="B50" s="73" t="s">
        <v>766</v>
      </c>
      <c r="C50" s="54">
        <v>2013</v>
      </c>
      <c r="D50" s="66"/>
      <c r="E50" s="56" t="s">
        <v>172</v>
      </c>
      <c r="F50" s="54">
        <v>2011</v>
      </c>
      <c r="G50" s="54" t="s">
        <v>631</v>
      </c>
      <c r="H50" s="66" t="s">
        <v>159</v>
      </c>
      <c r="I50" s="66" t="s">
        <v>1014</v>
      </c>
      <c r="J50" s="74" t="s">
        <v>1013</v>
      </c>
      <c r="K50" s="54" t="s">
        <v>1091</v>
      </c>
      <c r="L50" s="54" t="s">
        <v>974</v>
      </c>
      <c r="M50" s="172"/>
      <c r="N50" s="172"/>
      <c r="O50" s="66" t="s">
        <v>972</v>
      </c>
      <c r="P50" s="172"/>
      <c r="Q50" s="172"/>
      <c r="R50" s="172"/>
      <c r="S50" s="172"/>
      <c r="T50" s="172"/>
      <c r="U50" s="54">
        <v>0.875</v>
      </c>
      <c r="V50" s="172"/>
      <c r="W50" s="172"/>
      <c r="X50" s="66">
        <f t="shared" si="0"/>
        <v>0.875</v>
      </c>
      <c r="Y50" s="72">
        <v>1581</v>
      </c>
      <c r="Z50" s="192" t="str">
        <f t="shared" si="2"/>
        <v>S</v>
      </c>
      <c r="AA50" s="172" t="s">
        <v>1396</v>
      </c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</row>
    <row r="51" spans="1:38" s="45" customFormat="1">
      <c r="A51" s="172"/>
      <c r="B51" s="73" t="s">
        <v>766</v>
      </c>
      <c r="C51" s="54">
        <v>2013</v>
      </c>
      <c r="D51" s="66"/>
      <c r="E51" s="56" t="s">
        <v>172</v>
      </c>
      <c r="F51" s="54">
        <v>2011</v>
      </c>
      <c r="G51" s="54" t="s">
        <v>631</v>
      </c>
      <c r="H51" s="66" t="s">
        <v>159</v>
      </c>
      <c r="I51" s="66" t="s">
        <v>1014</v>
      </c>
      <c r="J51" s="74" t="s">
        <v>1013</v>
      </c>
      <c r="K51" s="54" t="s">
        <v>1091</v>
      </c>
      <c r="L51" s="54" t="s">
        <v>978</v>
      </c>
      <c r="M51" s="172"/>
      <c r="N51" s="172"/>
      <c r="O51" s="66" t="s">
        <v>977</v>
      </c>
      <c r="P51" s="172"/>
      <c r="Q51" s="172"/>
      <c r="R51" s="172"/>
      <c r="S51" s="172"/>
      <c r="T51" s="172"/>
      <c r="U51" s="54">
        <v>0.875</v>
      </c>
      <c r="V51" s="172"/>
      <c r="W51" s="172"/>
      <c r="X51" s="66">
        <f t="shared" si="0"/>
        <v>0.875</v>
      </c>
      <c r="Y51" s="72">
        <v>1585</v>
      </c>
      <c r="Z51" s="192" t="str">
        <f t="shared" si="2"/>
        <v>S</v>
      </c>
      <c r="AA51" s="172" t="s">
        <v>1396</v>
      </c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</row>
    <row r="52" spans="1:38" s="45" customFormat="1">
      <c r="A52" s="172"/>
      <c r="B52" s="73" t="s">
        <v>766</v>
      </c>
      <c r="C52" s="54">
        <v>2013</v>
      </c>
      <c r="D52" s="66"/>
      <c r="E52" s="56" t="s">
        <v>172</v>
      </c>
      <c r="F52" s="54">
        <v>2011</v>
      </c>
      <c r="G52" s="54" t="s">
        <v>631</v>
      </c>
      <c r="H52" s="66" t="s">
        <v>159</v>
      </c>
      <c r="I52" s="66" t="s">
        <v>1014</v>
      </c>
      <c r="J52" s="74" t="s">
        <v>1013</v>
      </c>
      <c r="K52" s="54" t="s">
        <v>1091</v>
      </c>
      <c r="L52" s="54" t="s">
        <v>974</v>
      </c>
      <c r="M52" s="172"/>
      <c r="N52" s="172"/>
      <c r="O52" s="66" t="s">
        <v>972</v>
      </c>
      <c r="P52" s="172"/>
      <c r="Q52" s="172"/>
      <c r="R52" s="172"/>
      <c r="S52" s="172"/>
      <c r="T52" s="172"/>
      <c r="U52" s="54">
        <v>0.875</v>
      </c>
      <c r="V52" s="172"/>
      <c r="W52" s="172"/>
      <c r="X52" s="66">
        <f t="shared" si="0"/>
        <v>0.875</v>
      </c>
      <c r="Y52" s="72">
        <v>1586</v>
      </c>
      <c r="Z52" s="192" t="str">
        <f t="shared" si="2"/>
        <v>S</v>
      </c>
      <c r="AA52" s="172" t="s">
        <v>1396</v>
      </c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</row>
    <row r="53" spans="1:38" s="45" customFormat="1">
      <c r="A53" s="172"/>
      <c r="B53" s="73" t="s">
        <v>766</v>
      </c>
      <c r="C53" s="54">
        <v>2013</v>
      </c>
      <c r="D53" s="66"/>
      <c r="E53" s="56" t="s">
        <v>172</v>
      </c>
      <c r="F53" s="54">
        <v>2011</v>
      </c>
      <c r="G53" s="54" t="s">
        <v>631</v>
      </c>
      <c r="H53" s="66" t="s">
        <v>159</v>
      </c>
      <c r="I53" s="66" t="s">
        <v>1014</v>
      </c>
      <c r="J53" s="74" t="s">
        <v>1013</v>
      </c>
      <c r="K53" s="54" t="s">
        <v>1091</v>
      </c>
      <c r="L53" s="54" t="s">
        <v>978</v>
      </c>
      <c r="M53" s="172"/>
      <c r="N53" s="172"/>
      <c r="O53" s="66" t="s">
        <v>977</v>
      </c>
      <c r="P53" s="172"/>
      <c r="Q53" s="172"/>
      <c r="R53" s="172"/>
      <c r="S53" s="172"/>
      <c r="T53" s="172"/>
      <c r="U53" s="54">
        <v>0.873</v>
      </c>
      <c r="V53" s="172"/>
      <c r="W53" s="172"/>
      <c r="X53" s="66">
        <f t="shared" si="0"/>
        <v>0.873</v>
      </c>
      <c r="Y53" s="72">
        <v>1582</v>
      </c>
      <c r="Z53" s="192" t="str">
        <f t="shared" si="2"/>
        <v>S</v>
      </c>
      <c r="AA53" s="172" t="s">
        <v>1396</v>
      </c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</row>
    <row r="54" spans="1:38" s="45" customFormat="1">
      <c r="A54" s="172"/>
      <c r="B54" s="73" t="s">
        <v>766</v>
      </c>
      <c r="C54" s="54">
        <v>2013</v>
      </c>
      <c r="D54" s="66"/>
      <c r="E54" s="56" t="s">
        <v>172</v>
      </c>
      <c r="F54" s="54">
        <v>2011</v>
      </c>
      <c r="G54" s="54" t="s">
        <v>631</v>
      </c>
      <c r="H54" s="66" t="s">
        <v>159</v>
      </c>
      <c r="I54" s="66" t="s">
        <v>1014</v>
      </c>
      <c r="J54" s="74" t="s">
        <v>1013</v>
      </c>
      <c r="K54" s="54" t="s">
        <v>1091</v>
      </c>
      <c r="L54" s="54" t="s">
        <v>974</v>
      </c>
      <c r="M54" s="172"/>
      <c r="N54" s="172"/>
      <c r="O54" s="66" t="s">
        <v>972</v>
      </c>
      <c r="P54" s="172"/>
      <c r="Q54" s="172"/>
      <c r="R54" s="172"/>
      <c r="S54" s="172"/>
      <c r="T54" s="172"/>
      <c r="U54" s="54">
        <v>0.871</v>
      </c>
      <c r="V54" s="172"/>
      <c r="W54" s="172"/>
      <c r="X54" s="66">
        <f t="shared" si="0"/>
        <v>0.871</v>
      </c>
      <c r="Y54" s="72">
        <v>1576</v>
      </c>
      <c r="Z54" s="192" t="str">
        <f t="shared" si="2"/>
        <v>S</v>
      </c>
      <c r="AA54" s="172" t="s">
        <v>1396</v>
      </c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</row>
    <row r="55" spans="1:38" s="45" customFormat="1">
      <c r="A55" s="172"/>
      <c r="B55" s="73" t="s">
        <v>766</v>
      </c>
      <c r="C55" s="54">
        <v>2013</v>
      </c>
      <c r="D55" s="66"/>
      <c r="E55" s="56" t="s">
        <v>172</v>
      </c>
      <c r="F55" s="54">
        <v>2011</v>
      </c>
      <c r="G55" s="54" t="s">
        <v>631</v>
      </c>
      <c r="H55" s="66" t="s">
        <v>159</v>
      </c>
      <c r="I55" s="66" t="s">
        <v>1014</v>
      </c>
      <c r="J55" s="74" t="s">
        <v>1013</v>
      </c>
      <c r="K55" s="54" t="s">
        <v>1091</v>
      </c>
      <c r="L55" s="54" t="s">
        <v>978</v>
      </c>
      <c r="M55" s="172"/>
      <c r="N55" s="172"/>
      <c r="O55" s="66" t="s">
        <v>977</v>
      </c>
      <c r="P55" s="172"/>
      <c r="Q55" s="172"/>
      <c r="R55" s="172"/>
      <c r="S55" s="172"/>
      <c r="T55" s="172"/>
      <c r="U55" s="54">
        <v>0.871</v>
      </c>
      <c r="V55" s="172"/>
      <c r="W55" s="172"/>
      <c r="X55" s="66">
        <f t="shared" si="0"/>
        <v>0.871</v>
      </c>
      <c r="Y55" s="72">
        <v>1578</v>
      </c>
      <c r="Z55" s="192" t="str">
        <f t="shared" si="2"/>
        <v>S</v>
      </c>
      <c r="AA55" s="172" t="s">
        <v>1396</v>
      </c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</row>
    <row r="56" spans="1:38" s="45" customFormat="1">
      <c r="A56" s="172"/>
      <c r="B56" s="73" t="s">
        <v>766</v>
      </c>
      <c r="C56" s="54">
        <v>2013</v>
      </c>
      <c r="D56" s="66"/>
      <c r="E56" s="56" t="s">
        <v>172</v>
      </c>
      <c r="F56" s="54">
        <v>2011</v>
      </c>
      <c r="G56" s="54" t="s">
        <v>631</v>
      </c>
      <c r="H56" s="66" t="s">
        <v>159</v>
      </c>
      <c r="I56" s="66" t="s">
        <v>1014</v>
      </c>
      <c r="J56" s="74" t="s">
        <v>1013</v>
      </c>
      <c r="K56" s="54" t="s">
        <v>1091</v>
      </c>
      <c r="L56" s="54" t="s">
        <v>974</v>
      </c>
      <c r="M56" s="172"/>
      <c r="N56" s="172"/>
      <c r="O56" s="66" t="s">
        <v>972</v>
      </c>
      <c r="P56" s="172"/>
      <c r="Q56" s="172"/>
      <c r="R56" s="172"/>
      <c r="S56" s="172"/>
      <c r="T56" s="172"/>
      <c r="U56" s="54">
        <v>0.86899999999999999</v>
      </c>
      <c r="V56" s="172"/>
      <c r="W56" s="172"/>
      <c r="X56" s="66">
        <f t="shared" si="0"/>
        <v>0.86899999999999999</v>
      </c>
      <c r="Y56" s="72">
        <v>1571</v>
      </c>
      <c r="Z56" s="192" t="str">
        <f t="shared" si="2"/>
        <v>S</v>
      </c>
      <c r="AA56" s="172" t="s">
        <v>1396</v>
      </c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</row>
    <row r="57" spans="1:38" s="45" customFormat="1">
      <c r="A57" s="172"/>
      <c r="B57" s="73" t="s">
        <v>766</v>
      </c>
      <c r="C57" s="54">
        <v>2013</v>
      </c>
      <c r="D57" s="66"/>
      <c r="E57" s="56" t="s">
        <v>172</v>
      </c>
      <c r="F57" s="54">
        <v>2011</v>
      </c>
      <c r="G57" s="54" t="s">
        <v>631</v>
      </c>
      <c r="H57" s="66" t="s">
        <v>159</v>
      </c>
      <c r="I57" s="66" t="s">
        <v>1014</v>
      </c>
      <c r="J57" s="74" t="s">
        <v>1013</v>
      </c>
      <c r="K57" s="54" t="s">
        <v>1091</v>
      </c>
      <c r="L57" s="54" t="s">
        <v>978</v>
      </c>
      <c r="M57" s="172"/>
      <c r="N57" s="172"/>
      <c r="O57" s="66" t="s">
        <v>977</v>
      </c>
      <c r="P57" s="172"/>
      <c r="Q57" s="172"/>
      <c r="R57" s="172"/>
      <c r="S57" s="172"/>
      <c r="T57" s="172"/>
      <c r="U57" s="54">
        <v>0.86899999999999999</v>
      </c>
      <c r="V57" s="172"/>
      <c r="W57" s="172"/>
      <c r="X57" s="66">
        <f t="shared" si="0"/>
        <v>0.86899999999999999</v>
      </c>
      <c r="Y57" s="72">
        <v>1572</v>
      </c>
      <c r="Z57" s="192" t="str">
        <f t="shared" si="2"/>
        <v>S</v>
      </c>
      <c r="AA57" s="172" t="s">
        <v>1396</v>
      </c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</row>
    <row r="58" spans="1:38" s="45" customFormat="1">
      <c r="A58" s="172"/>
      <c r="B58" s="73" t="s">
        <v>766</v>
      </c>
      <c r="C58" s="54">
        <v>2013</v>
      </c>
      <c r="D58" s="66"/>
      <c r="E58" s="56" t="s">
        <v>172</v>
      </c>
      <c r="F58" s="54">
        <v>2011</v>
      </c>
      <c r="G58" s="54" t="s">
        <v>631</v>
      </c>
      <c r="H58" s="66" t="s">
        <v>159</v>
      </c>
      <c r="I58" s="66" t="s">
        <v>1014</v>
      </c>
      <c r="J58" s="74" t="s">
        <v>1013</v>
      </c>
      <c r="K58" s="54" t="s">
        <v>1091</v>
      </c>
      <c r="L58" s="54" t="s">
        <v>975</v>
      </c>
      <c r="M58" s="172"/>
      <c r="N58" s="172"/>
      <c r="O58" s="66" t="s">
        <v>976</v>
      </c>
      <c r="P58" s="172"/>
      <c r="Q58" s="172"/>
      <c r="R58" s="172"/>
      <c r="S58" s="172"/>
      <c r="T58" s="172"/>
      <c r="U58" s="54">
        <v>0.86599999999999999</v>
      </c>
      <c r="V58" s="172"/>
      <c r="W58" s="172"/>
      <c r="X58" s="66">
        <f t="shared" si="0"/>
        <v>0.86599999999999999</v>
      </c>
      <c r="Y58" s="72">
        <v>1567</v>
      </c>
      <c r="Z58" s="192" t="str">
        <f t="shared" si="2"/>
        <v>S</v>
      </c>
      <c r="AA58" s="172" t="s">
        <v>1396</v>
      </c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</row>
    <row r="59" spans="1:38" s="45" customFormat="1">
      <c r="A59" s="172"/>
      <c r="B59" s="73" t="s">
        <v>766</v>
      </c>
      <c r="C59" s="54">
        <v>2013</v>
      </c>
      <c r="D59" s="66"/>
      <c r="E59" s="56" t="s">
        <v>172</v>
      </c>
      <c r="F59" s="54">
        <v>2011</v>
      </c>
      <c r="G59" s="54" t="s">
        <v>631</v>
      </c>
      <c r="H59" s="66" t="s">
        <v>159</v>
      </c>
      <c r="I59" s="66" t="s">
        <v>1014</v>
      </c>
      <c r="J59" s="74" t="s">
        <v>1013</v>
      </c>
      <c r="K59" s="54" t="s">
        <v>1091</v>
      </c>
      <c r="L59" s="54" t="s">
        <v>978</v>
      </c>
      <c r="M59" s="172"/>
      <c r="N59" s="172"/>
      <c r="O59" s="66" t="s">
        <v>977</v>
      </c>
      <c r="P59" s="172"/>
      <c r="Q59" s="172"/>
      <c r="R59" s="172"/>
      <c r="S59" s="172"/>
      <c r="T59" s="172"/>
      <c r="U59" s="54">
        <v>0.86599999999999999</v>
      </c>
      <c r="V59" s="172"/>
      <c r="W59" s="172"/>
      <c r="X59" s="66">
        <f t="shared" si="0"/>
        <v>0.86599999999999999</v>
      </c>
      <c r="Y59" s="72">
        <v>1568</v>
      </c>
      <c r="Z59" s="192" t="str">
        <f t="shared" si="2"/>
        <v>S</v>
      </c>
      <c r="AA59" s="172" t="s">
        <v>1396</v>
      </c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</row>
    <row r="60" spans="1:38" s="45" customFormat="1">
      <c r="A60" s="172"/>
      <c r="B60" s="73" t="s">
        <v>766</v>
      </c>
      <c r="C60" s="54">
        <v>2013</v>
      </c>
      <c r="D60" s="66"/>
      <c r="E60" s="56" t="s">
        <v>172</v>
      </c>
      <c r="F60" s="54">
        <v>2011</v>
      </c>
      <c r="G60" s="54" t="s">
        <v>631</v>
      </c>
      <c r="H60" s="66" t="s">
        <v>159</v>
      </c>
      <c r="I60" s="66" t="s">
        <v>1014</v>
      </c>
      <c r="J60" s="74" t="s">
        <v>1013</v>
      </c>
      <c r="K60" s="54" t="s">
        <v>1091</v>
      </c>
      <c r="L60" s="54" t="s">
        <v>978</v>
      </c>
      <c r="M60" s="172"/>
      <c r="N60" s="172"/>
      <c r="O60" s="66" t="s">
        <v>977</v>
      </c>
      <c r="P60" s="172"/>
      <c r="Q60" s="172"/>
      <c r="R60" s="172"/>
      <c r="S60" s="172"/>
      <c r="T60" s="172"/>
      <c r="U60" s="54">
        <v>0.86499999999999999</v>
      </c>
      <c r="V60" s="172"/>
      <c r="W60" s="172"/>
      <c r="X60" s="66">
        <f t="shared" si="0"/>
        <v>0.86499999999999999</v>
      </c>
      <c r="Y60" s="72">
        <v>1566</v>
      </c>
      <c r="Z60" s="192" t="str">
        <f t="shared" si="2"/>
        <v>S</v>
      </c>
      <c r="AA60" s="172" t="s">
        <v>1396</v>
      </c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</row>
    <row r="61" spans="1:38" s="45" customFormat="1">
      <c r="A61" s="172"/>
      <c r="B61" s="73" t="s">
        <v>766</v>
      </c>
      <c r="C61" s="54">
        <v>2013</v>
      </c>
      <c r="D61" s="66"/>
      <c r="E61" s="56" t="s">
        <v>172</v>
      </c>
      <c r="F61" s="54">
        <v>2011</v>
      </c>
      <c r="G61" s="54" t="s">
        <v>631</v>
      </c>
      <c r="H61" s="66" t="s">
        <v>159</v>
      </c>
      <c r="I61" s="66" t="s">
        <v>1014</v>
      </c>
      <c r="J61" s="74" t="s">
        <v>1013</v>
      </c>
      <c r="K61" s="54" t="s">
        <v>1091</v>
      </c>
      <c r="L61" s="54" t="s">
        <v>978</v>
      </c>
      <c r="M61" s="172"/>
      <c r="N61" s="172"/>
      <c r="O61" s="66" t="s">
        <v>977</v>
      </c>
      <c r="P61" s="172"/>
      <c r="Q61" s="172"/>
      <c r="R61" s="172"/>
      <c r="S61" s="172"/>
      <c r="T61" s="172"/>
      <c r="U61" s="54">
        <v>0.86399999999999999</v>
      </c>
      <c r="V61" s="172"/>
      <c r="W61" s="172"/>
      <c r="X61" s="66">
        <f t="shared" si="0"/>
        <v>0.86399999999999999</v>
      </c>
      <c r="Y61" s="72">
        <v>1563</v>
      </c>
      <c r="Z61" s="192" t="str">
        <f t="shared" si="2"/>
        <v>S</v>
      </c>
      <c r="AA61" s="172" t="s">
        <v>1396</v>
      </c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</row>
    <row r="62" spans="1:38" s="45" customFormat="1">
      <c r="A62" s="172"/>
      <c r="B62" s="73" t="s">
        <v>766</v>
      </c>
      <c r="C62" s="54">
        <v>2013</v>
      </c>
      <c r="D62" s="66"/>
      <c r="E62" s="56" t="s">
        <v>172</v>
      </c>
      <c r="F62" s="54">
        <v>2011</v>
      </c>
      <c r="G62" s="54" t="s">
        <v>631</v>
      </c>
      <c r="H62" s="66" t="s">
        <v>159</v>
      </c>
      <c r="I62" s="66" t="s">
        <v>1014</v>
      </c>
      <c r="J62" s="74" t="s">
        <v>1013</v>
      </c>
      <c r="K62" s="54" t="s">
        <v>1091</v>
      </c>
      <c r="L62" s="54" t="s">
        <v>978</v>
      </c>
      <c r="M62" s="172"/>
      <c r="N62" s="172"/>
      <c r="O62" s="66" t="s">
        <v>977</v>
      </c>
      <c r="P62" s="172"/>
      <c r="Q62" s="172"/>
      <c r="R62" s="172"/>
      <c r="S62" s="172"/>
      <c r="T62" s="172"/>
      <c r="U62" s="54">
        <v>0.86299999999999999</v>
      </c>
      <c r="V62" s="172"/>
      <c r="W62" s="172"/>
      <c r="X62" s="66">
        <f t="shared" si="0"/>
        <v>0.86299999999999999</v>
      </c>
      <c r="Y62" s="72">
        <v>1562</v>
      </c>
      <c r="Z62" s="192" t="str">
        <f t="shared" si="2"/>
        <v>S</v>
      </c>
      <c r="AA62" s="172" t="s">
        <v>1396</v>
      </c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</row>
    <row r="63" spans="1:38" s="45" customFormat="1">
      <c r="A63" s="172"/>
      <c r="B63" s="73" t="s">
        <v>766</v>
      </c>
      <c r="C63" s="54">
        <v>2013</v>
      </c>
      <c r="D63" s="66"/>
      <c r="E63" s="56" t="s">
        <v>172</v>
      </c>
      <c r="F63" s="54">
        <v>2011</v>
      </c>
      <c r="G63" s="54" t="s">
        <v>631</v>
      </c>
      <c r="H63" s="66" t="s">
        <v>159</v>
      </c>
      <c r="I63" s="66" t="s">
        <v>1014</v>
      </c>
      <c r="J63" s="74" t="s">
        <v>1013</v>
      </c>
      <c r="K63" s="54" t="s">
        <v>1091</v>
      </c>
      <c r="L63" s="54" t="s">
        <v>978</v>
      </c>
      <c r="M63" s="172"/>
      <c r="N63" s="172"/>
      <c r="O63" s="66" t="s">
        <v>977</v>
      </c>
      <c r="P63" s="172"/>
      <c r="Q63" s="172"/>
      <c r="R63" s="172"/>
      <c r="S63" s="172"/>
      <c r="T63" s="172"/>
      <c r="U63" s="54">
        <v>0.86299999999999999</v>
      </c>
      <c r="V63" s="172"/>
      <c r="W63" s="172"/>
      <c r="X63" s="66">
        <f t="shared" si="0"/>
        <v>0.86299999999999999</v>
      </c>
      <c r="Y63" s="72">
        <v>1562</v>
      </c>
      <c r="Z63" s="192" t="str">
        <f t="shared" si="2"/>
        <v>S</v>
      </c>
      <c r="AA63" s="172" t="s">
        <v>1396</v>
      </c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</row>
    <row r="64" spans="1:38" s="45" customFormat="1">
      <c r="A64" s="172"/>
      <c r="B64" s="73" t="s">
        <v>766</v>
      </c>
      <c r="C64" s="54">
        <v>2013</v>
      </c>
      <c r="D64" s="66"/>
      <c r="E64" s="56" t="s">
        <v>172</v>
      </c>
      <c r="F64" s="54">
        <v>2011</v>
      </c>
      <c r="G64" s="54" t="s">
        <v>631</v>
      </c>
      <c r="H64" s="66" t="s">
        <v>159</v>
      </c>
      <c r="I64" s="66" t="s">
        <v>1014</v>
      </c>
      <c r="J64" s="74" t="s">
        <v>1013</v>
      </c>
      <c r="K64" s="54" t="s">
        <v>1091</v>
      </c>
      <c r="L64" s="54" t="s">
        <v>974</v>
      </c>
      <c r="M64" s="172"/>
      <c r="N64" s="172"/>
      <c r="O64" s="66" t="s">
        <v>972</v>
      </c>
      <c r="P64" s="172"/>
      <c r="Q64" s="172"/>
      <c r="R64" s="172"/>
      <c r="S64" s="172"/>
      <c r="T64" s="172"/>
      <c r="U64" s="54">
        <v>0.84899999999999998</v>
      </c>
      <c r="V64" s="172"/>
      <c r="W64" s="172"/>
      <c r="X64" s="66">
        <f t="shared" si="0"/>
        <v>0.84899999999999998</v>
      </c>
      <c r="Y64" s="72">
        <v>1528</v>
      </c>
      <c r="Z64" s="192" t="str">
        <f t="shared" si="2"/>
        <v>S</v>
      </c>
      <c r="AA64" s="172" t="s">
        <v>1396</v>
      </c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</row>
    <row r="65" spans="1:38" s="45" customFormat="1">
      <c r="A65" s="172"/>
      <c r="B65" s="73" t="s">
        <v>766</v>
      </c>
      <c r="C65" s="54">
        <v>2013</v>
      </c>
      <c r="D65" s="66"/>
      <c r="E65" s="56" t="s">
        <v>172</v>
      </c>
      <c r="F65" s="54">
        <v>2011</v>
      </c>
      <c r="G65" s="54" t="s">
        <v>631</v>
      </c>
      <c r="H65" s="66" t="s">
        <v>159</v>
      </c>
      <c r="I65" s="66" t="s">
        <v>1014</v>
      </c>
      <c r="J65" s="74" t="s">
        <v>1013</v>
      </c>
      <c r="K65" s="54" t="s">
        <v>1091</v>
      </c>
      <c r="L65" s="54" t="s">
        <v>974</v>
      </c>
      <c r="M65" s="172"/>
      <c r="N65" s="172"/>
      <c r="O65" s="66" t="s">
        <v>972</v>
      </c>
      <c r="P65" s="172"/>
      <c r="Q65" s="172"/>
      <c r="R65" s="172"/>
      <c r="S65" s="172"/>
      <c r="T65" s="172"/>
      <c r="U65" s="54">
        <v>0.84499999999999997</v>
      </c>
      <c r="V65" s="172"/>
      <c r="W65" s="172"/>
      <c r="X65" s="66">
        <f t="shared" si="0"/>
        <v>0.84499999999999997</v>
      </c>
      <c r="Y65" s="72">
        <v>1527</v>
      </c>
      <c r="Z65" s="192" t="str">
        <f t="shared" si="2"/>
        <v>S</v>
      </c>
      <c r="AA65" s="172" t="s">
        <v>1396</v>
      </c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</row>
    <row r="66" spans="1:38" s="45" customFormat="1">
      <c r="A66" s="53">
        <v>63</v>
      </c>
      <c r="B66" s="60" t="s">
        <v>168</v>
      </c>
      <c r="C66" s="60">
        <v>1989</v>
      </c>
      <c r="D66" s="60" t="s">
        <v>169</v>
      </c>
      <c r="E66" s="56" t="s">
        <v>172</v>
      </c>
      <c r="F66" s="69">
        <v>32022</v>
      </c>
      <c r="G66" s="54" t="s">
        <v>176</v>
      </c>
      <c r="H66" s="54" t="s">
        <v>95</v>
      </c>
      <c r="I66" s="54" t="s">
        <v>1014</v>
      </c>
      <c r="J66" s="66" t="s">
        <v>1013</v>
      </c>
      <c r="K66" s="54" t="s">
        <v>1042</v>
      </c>
      <c r="L66" s="54" t="s">
        <v>177</v>
      </c>
      <c r="M66" s="54"/>
      <c r="N66" s="54"/>
      <c r="O66" s="54" t="s">
        <v>178</v>
      </c>
      <c r="P66" s="54"/>
      <c r="Q66" s="54"/>
      <c r="R66" s="54"/>
      <c r="S66" s="54"/>
      <c r="T66" s="54"/>
      <c r="U66" s="54"/>
      <c r="V66" s="54"/>
      <c r="W66" s="54"/>
      <c r="X66" s="66" t="str">
        <f t="shared" ref="X66:X129" si="3">IF(R66&lt;&gt;0,IF(R66&gt;1,R66/100,R66),IF(U66&lt;&gt;0,IF(U66&gt;1,U66/100,U66),""))</f>
        <v/>
      </c>
      <c r="Y66" s="72">
        <v>1626</v>
      </c>
      <c r="Z66" s="192" t="str">
        <f t="shared" ref="Z66:Z97" si="4">IF(X66&lt;&gt;"",IF(X66&lt;0.9,"S","F"),"")</f>
        <v/>
      </c>
      <c r="AA66" s="172" t="s">
        <v>1396</v>
      </c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</row>
    <row r="67" spans="1:38" s="45" customFormat="1">
      <c r="A67" s="53">
        <v>63</v>
      </c>
      <c r="B67" s="60" t="s">
        <v>168</v>
      </c>
      <c r="C67" s="60">
        <v>1989</v>
      </c>
      <c r="D67" s="60" t="s">
        <v>169</v>
      </c>
      <c r="E67" s="56" t="s">
        <v>172</v>
      </c>
      <c r="F67" s="54" t="s">
        <v>179</v>
      </c>
      <c r="G67" s="54" t="s">
        <v>153</v>
      </c>
      <c r="H67" s="54" t="s">
        <v>95</v>
      </c>
      <c r="I67" s="54" t="s">
        <v>1014</v>
      </c>
      <c r="J67" s="66" t="s">
        <v>1013</v>
      </c>
      <c r="K67" s="54" t="s">
        <v>1042</v>
      </c>
      <c r="L67" s="54" t="s">
        <v>180</v>
      </c>
      <c r="M67" s="54"/>
      <c r="N67" s="54"/>
      <c r="O67" s="54" t="s">
        <v>155</v>
      </c>
      <c r="P67" s="54"/>
      <c r="Q67" s="54"/>
      <c r="R67" s="54"/>
      <c r="S67" s="54"/>
      <c r="T67" s="54"/>
      <c r="U67" s="54"/>
      <c r="V67" s="54"/>
      <c r="W67" s="54"/>
      <c r="X67" s="66" t="str">
        <f t="shared" si="3"/>
        <v/>
      </c>
      <c r="Y67" s="72">
        <v>1637</v>
      </c>
      <c r="Z67" s="192" t="str">
        <f t="shared" si="4"/>
        <v/>
      </c>
      <c r="AA67" s="172" t="s">
        <v>1396</v>
      </c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</row>
    <row r="68" spans="1:38" s="45" customFormat="1">
      <c r="A68" s="53">
        <v>103</v>
      </c>
      <c r="B68" s="60" t="s">
        <v>311</v>
      </c>
      <c r="C68" s="60">
        <v>1994</v>
      </c>
      <c r="D68" s="60" t="s">
        <v>312</v>
      </c>
      <c r="E68" s="56" t="s">
        <v>20</v>
      </c>
      <c r="F68" s="54">
        <v>1995</v>
      </c>
      <c r="G68" s="54"/>
      <c r="H68" s="54"/>
      <c r="I68" s="54"/>
      <c r="J68" s="54" t="s">
        <v>1013</v>
      </c>
      <c r="K68" s="54" t="s">
        <v>1096</v>
      </c>
      <c r="L68" s="54" t="s">
        <v>315</v>
      </c>
      <c r="M68" s="54" t="s">
        <v>316</v>
      </c>
      <c r="N68" s="54"/>
      <c r="O68" s="54" t="s">
        <v>317</v>
      </c>
      <c r="P68" s="54"/>
      <c r="Q68" s="54"/>
      <c r="R68" s="54"/>
      <c r="S68" s="54"/>
      <c r="T68" s="54"/>
      <c r="U68" s="54"/>
      <c r="V68" s="54"/>
      <c r="W68" s="54"/>
      <c r="X68" s="66" t="str">
        <f t="shared" si="3"/>
        <v/>
      </c>
      <c r="Y68" s="72">
        <v>870</v>
      </c>
      <c r="Z68" s="192" t="str">
        <f t="shared" si="4"/>
        <v/>
      </c>
      <c r="AA68" s="172" t="s">
        <v>1396</v>
      </c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</row>
    <row r="69" spans="1:38" s="45" customFormat="1">
      <c r="A69" s="53">
        <v>181</v>
      </c>
      <c r="B69" s="54" t="s">
        <v>766</v>
      </c>
      <c r="C69" s="54">
        <v>2009</v>
      </c>
      <c r="D69" s="90" t="s">
        <v>767</v>
      </c>
      <c r="E69" s="84" t="s">
        <v>49</v>
      </c>
      <c r="F69" s="54"/>
      <c r="G69" s="54" t="s">
        <v>777</v>
      </c>
      <c r="H69" s="74" t="s">
        <v>581</v>
      </c>
      <c r="I69" s="74"/>
      <c r="J69" s="74" t="s">
        <v>1013</v>
      </c>
      <c r="K69" s="74" t="s">
        <v>1096</v>
      </c>
      <c r="L69" s="85" t="s">
        <v>775</v>
      </c>
      <c r="M69" s="85" t="s">
        <v>164</v>
      </c>
      <c r="N69" s="85"/>
      <c r="O69" s="85" t="s">
        <v>868</v>
      </c>
      <c r="P69" s="85"/>
      <c r="Q69" s="85"/>
      <c r="R69" s="54"/>
      <c r="S69" s="54"/>
      <c r="T69" s="54"/>
      <c r="U69" s="93">
        <v>0.94840097300000004</v>
      </c>
      <c r="V69" s="93"/>
      <c r="W69" s="93"/>
      <c r="X69" s="66">
        <f t="shared" si="3"/>
        <v>0.94840097300000004</v>
      </c>
      <c r="Y69" s="226">
        <v>1716.515762</v>
      </c>
      <c r="Z69" s="192" t="str">
        <f t="shared" si="4"/>
        <v>F</v>
      </c>
      <c r="AA69" s="172" t="s">
        <v>1396</v>
      </c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</row>
    <row r="70" spans="1:38" s="45" customFormat="1">
      <c r="A70" s="53">
        <v>181</v>
      </c>
      <c r="B70" s="54" t="s">
        <v>766</v>
      </c>
      <c r="C70" s="54">
        <v>2009</v>
      </c>
      <c r="D70" s="90" t="s">
        <v>767</v>
      </c>
      <c r="E70" s="84" t="s">
        <v>49</v>
      </c>
      <c r="F70" s="85" t="s">
        <v>841</v>
      </c>
      <c r="G70" s="54" t="s">
        <v>842</v>
      </c>
      <c r="H70" s="74" t="s">
        <v>790</v>
      </c>
      <c r="I70" s="74"/>
      <c r="J70" s="78" t="s">
        <v>1013</v>
      </c>
      <c r="K70" s="78" t="s">
        <v>1096</v>
      </c>
      <c r="L70" s="85" t="s">
        <v>782</v>
      </c>
      <c r="M70" s="85" t="s">
        <v>843</v>
      </c>
      <c r="N70" s="85"/>
      <c r="O70" s="85" t="s">
        <v>844</v>
      </c>
      <c r="P70" s="85"/>
      <c r="Q70" s="85"/>
      <c r="R70" s="54"/>
      <c r="S70" s="54"/>
      <c r="T70" s="54"/>
      <c r="U70" s="85">
        <v>0.94199999999999995</v>
      </c>
      <c r="V70" s="85"/>
      <c r="W70" s="85"/>
      <c r="X70" s="66">
        <f t="shared" si="3"/>
        <v>0.94199999999999995</v>
      </c>
      <c r="Y70" s="226">
        <v>1692.932292</v>
      </c>
      <c r="Z70" s="192" t="str">
        <f t="shared" si="4"/>
        <v>F</v>
      </c>
      <c r="AA70" s="172" t="s">
        <v>1396</v>
      </c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</row>
    <row r="71" spans="1:38" s="45" customFormat="1">
      <c r="A71" s="53">
        <v>181</v>
      </c>
      <c r="B71" s="54" t="s">
        <v>766</v>
      </c>
      <c r="C71" s="54">
        <v>2009</v>
      </c>
      <c r="D71" s="90" t="s">
        <v>767</v>
      </c>
      <c r="E71" s="84" t="s">
        <v>49</v>
      </c>
      <c r="F71" s="85" t="s">
        <v>814</v>
      </c>
      <c r="G71" s="54" t="s">
        <v>774</v>
      </c>
      <c r="H71" s="74" t="s">
        <v>581</v>
      </c>
      <c r="I71" s="74"/>
      <c r="J71" s="74" t="s">
        <v>1013</v>
      </c>
      <c r="K71" s="74" t="s">
        <v>1096</v>
      </c>
      <c r="L71" s="85" t="s">
        <v>775</v>
      </c>
      <c r="M71" s="85" t="s">
        <v>164</v>
      </c>
      <c r="N71" s="85"/>
      <c r="O71" s="85" t="s">
        <v>815</v>
      </c>
      <c r="P71" s="85"/>
      <c r="Q71" s="85"/>
      <c r="R71" s="54"/>
      <c r="S71" s="54"/>
      <c r="T71" s="54"/>
      <c r="U71" s="93">
        <v>0.93836761499999999</v>
      </c>
      <c r="V71" s="93"/>
      <c r="W71" s="93"/>
      <c r="X71" s="66">
        <f t="shared" si="3"/>
        <v>0.93836761499999999</v>
      </c>
      <c r="Y71" s="226">
        <v>1677.6704569999999</v>
      </c>
      <c r="Z71" s="192" t="str">
        <f t="shared" si="4"/>
        <v>F</v>
      </c>
      <c r="AA71" s="172" t="s">
        <v>1396</v>
      </c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</row>
    <row r="72" spans="1:38" s="45" customFormat="1">
      <c r="A72" s="53">
        <v>181</v>
      </c>
      <c r="B72" s="54" t="s">
        <v>766</v>
      </c>
      <c r="C72" s="54">
        <v>2009</v>
      </c>
      <c r="D72" s="90" t="s">
        <v>767</v>
      </c>
      <c r="E72" s="84" t="s">
        <v>49</v>
      </c>
      <c r="F72" s="85" t="s">
        <v>773</v>
      </c>
      <c r="G72" s="54" t="s">
        <v>774</v>
      </c>
      <c r="H72" s="74" t="s">
        <v>581</v>
      </c>
      <c r="I72" s="74"/>
      <c r="J72" s="74" t="s">
        <v>1013</v>
      </c>
      <c r="K72" s="74" t="s">
        <v>1096</v>
      </c>
      <c r="L72" s="85" t="s">
        <v>775</v>
      </c>
      <c r="M72" s="85" t="s">
        <v>164</v>
      </c>
      <c r="N72" s="85"/>
      <c r="O72" s="85" t="s">
        <v>826</v>
      </c>
      <c r="P72" s="85"/>
      <c r="Q72" s="85"/>
      <c r="R72" s="54"/>
      <c r="S72" s="54"/>
      <c r="T72" s="54"/>
      <c r="U72" s="93">
        <v>0.93163082699999999</v>
      </c>
      <c r="V72" s="93"/>
      <c r="W72" s="93"/>
      <c r="X72" s="66">
        <f t="shared" si="3"/>
        <v>0.93163082699999999</v>
      </c>
      <c r="Y72" s="226">
        <v>1667.981295</v>
      </c>
      <c r="Z72" s="192" t="str">
        <f t="shared" si="4"/>
        <v>F</v>
      </c>
      <c r="AA72" s="172" t="s">
        <v>1396</v>
      </c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</row>
    <row r="73" spans="1:38" s="45" customFormat="1">
      <c r="A73" s="53">
        <v>181</v>
      </c>
      <c r="B73" s="54" t="s">
        <v>766</v>
      </c>
      <c r="C73" s="54">
        <v>2009</v>
      </c>
      <c r="D73" s="90" t="s">
        <v>767</v>
      </c>
      <c r="E73" s="84" t="s">
        <v>49</v>
      </c>
      <c r="F73" s="85" t="s">
        <v>806</v>
      </c>
      <c r="G73" s="54" t="s">
        <v>777</v>
      </c>
      <c r="H73" s="74" t="s">
        <v>581</v>
      </c>
      <c r="I73" s="74"/>
      <c r="J73" s="74" t="s">
        <v>1013</v>
      </c>
      <c r="K73" s="74" t="s">
        <v>1096</v>
      </c>
      <c r="L73" s="85" t="s">
        <v>775</v>
      </c>
      <c r="M73" s="85" t="s">
        <v>164</v>
      </c>
      <c r="N73" s="85"/>
      <c r="O73" s="85" t="s">
        <v>807</v>
      </c>
      <c r="P73" s="85"/>
      <c r="Q73" s="85"/>
      <c r="R73" s="54"/>
      <c r="S73" s="54"/>
      <c r="T73" s="54"/>
      <c r="U73" s="93">
        <v>0.92572142999999996</v>
      </c>
      <c r="V73" s="93"/>
      <c r="W73" s="93"/>
      <c r="X73" s="66">
        <f t="shared" si="3"/>
        <v>0.92572142999999996</v>
      </c>
      <c r="Y73" s="226">
        <v>1649.695015</v>
      </c>
      <c r="Z73" s="192" t="str">
        <f t="shared" si="4"/>
        <v>F</v>
      </c>
      <c r="AA73" s="172" t="s">
        <v>1396</v>
      </c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</row>
    <row r="74" spans="1:38" s="45" customFormat="1">
      <c r="A74" s="53">
        <v>181</v>
      </c>
      <c r="B74" s="54" t="s">
        <v>766</v>
      </c>
      <c r="C74" s="54">
        <v>2009</v>
      </c>
      <c r="D74" s="90" t="s">
        <v>767</v>
      </c>
      <c r="E74" s="84" t="s">
        <v>49</v>
      </c>
      <c r="F74" s="85" t="s">
        <v>773</v>
      </c>
      <c r="G74" s="54" t="s">
        <v>832</v>
      </c>
      <c r="H74" s="74" t="s">
        <v>581</v>
      </c>
      <c r="I74" s="74"/>
      <c r="J74" s="74" t="s">
        <v>1013</v>
      </c>
      <c r="K74" s="74" t="s">
        <v>1096</v>
      </c>
      <c r="L74" s="85" t="s">
        <v>775</v>
      </c>
      <c r="M74" s="85" t="s">
        <v>164</v>
      </c>
      <c r="N74" s="85"/>
      <c r="O74" s="85" t="s">
        <v>833</v>
      </c>
      <c r="P74" s="85"/>
      <c r="Q74" s="85"/>
      <c r="R74" s="54"/>
      <c r="S74" s="54"/>
      <c r="T74" s="54"/>
      <c r="U74" s="93">
        <v>0.92401837899999995</v>
      </c>
      <c r="V74" s="93"/>
      <c r="W74" s="93"/>
      <c r="X74" s="66">
        <f t="shared" si="3"/>
        <v>0.92401837899999995</v>
      </c>
      <c r="Y74" s="226">
        <v>1657.9590490000001</v>
      </c>
      <c r="Z74" s="192" t="str">
        <f t="shared" si="4"/>
        <v>F</v>
      </c>
      <c r="AA74" s="172" t="s">
        <v>1396</v>
      </c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</row>
    <row r="75" spans="1:38" s="45" customFormat="1">
      <c r="A75" s="53">
        <v>181</v>
      </c>
      <c r="B75" s="54" t="s">
        <v>766</v>
      </c>
      <c r="C75" s="54">
        <v>2009</v>
      </c>
      <c r="D75" s="90" t="s">
        <v>767</v>
      </c>
      <c r="E75" s="84" t="s">
        <v>49</v>
      </c>
      <c r="F75" s="85" t="s">
        <v>820</v>
      </c>
      <c r="G75" s="54" t="s">
        <v>821</v>
      </c>
      <c r="H75" s="74" t="s">
        <v>581</v>
      </c>
      <c r="I75" s="74"/>
      <c r="J75" s="74" t="s">
        <v>1013</v>
      </c>
      <c r="K75" s="74" t="s">
        <v>1096</v>
      </c>
      <c r="L75" s="85" t="s">
        <v>775</v>
      </c>
      <c r="M75" s="85" t="s">
        <v>164</v>
      </c>
      <c r="N75" s="85"/>
      <c r="O75" s="85" t="s">
        <v>822</v>
      </c>
      <c r="P75" s="85"/>
      <c r="Q75" s="85"/>
      <c r="R75" s="54"/>
      <c r="S75" s="54"/>
      <c r="T75" s="54"/>
      <c r="U75" s="93">
        <v>0.92372757000000005</v>
      </c>
      <c r="V75" s="93"/>
      <c r="W75" s="93"/>
      <c r="X75" s="66">
        <f t="shared" si="3"/>
        <v>0.92372757000000005</v>
      </c>
      <c r="Y75" s="226">
        <v>1648.326386</v>
      </c>
      <c r="Z75" s="192" t="str">
        <f t="shared" si="4"/>
        <v>F</v>
      </c>
      <c r="AA75" s="172" t="s">
        <v>1396</v>
      </c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</row>
    <row r="76" spans="1:38" s="45" customFormat="1">
      <c r="A76" s="172"/>
      <c r="B76" s="73" t="s">
        <v>766</v>
      </c>
      <c r="C76" s="54">
        <v>2013</v>
      </c>
      <c r="D76" s="66"/>
      <c r="E76" s="56" t="s">
        <v>172</v>
      </c>
      <c r="F76" s="54">
        <v>2011</v>
      </c>
      <c r="G76" s="54" t="s">
        <v>631</v>
      </c>
      <c r="H76" s="66" t="s">
        <v>159</v>
      </c>
      <c r="I76" s="66" t="s">
        <v>1014</v>
      </c>
      <c r="J76" s="74" t="s">
        <v>1013</v>
      </c>
      <c r="K76" s="74" t="s">
        <v>1096</v>
      </c>
      <c r="L76" s="54" t="s">
        <v>974</v>
      </c>
      <c r="M76" s="172"/>
      <c r="N76" s="172"/>
      <c r="O76" s="66" t="s">
        <v>972</v>
      </c>
      <c r="P76" s="172"/>
      <c r="Q76" s="172"/>
      <c r="R76" s="172"/>
      <c r="S76" s="172"/>
      <c r="T76" s="172"/>
      <c r="U76" s="54">
        <v>0.92300000000000004</v>
      </c>
      <c r="V76" s="172"/>
      <c r="W76" s="172"/>
      <c r="X76" s="66">
        <f t="shared" si="3"/>
        <v>0.92300000000000004</v>
      </c>
      <c r="Y76" s="72">
        <v>1681</v>
      </c>
      <c r="Z76" s="192" t="str">
        <f t="shared" si="4"/>
        <v>F</v>
      </c>
      <c r="AA76" s="172" t="s">
        <v>1396</v>
      </c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</row>
    <row r="77" spans="1:38" s="45" customFormat="1">
      <c r="A77" s="53">
        <v>174</v>
      </c>
      <c r="B77" s="54" t="s">
        <v>697</v>
      </c>
      <c r="C77" s="54">
        <v>2009</v>
      </c>
      <c r="D77" s="78" t="s">
        <v>698</v>
      </c>
      <c r="E77" s="56" t="s">
        <v>20</v>
      </c>
      <c r="F77" s="57" t="s">
        <v>701</v>
      </c>
      <c r="G77" s="54" t="s">
        <v>705</v>
      </c>
      <c r="H77" s="54" t="s">
        <v>159</v>
      </c>
      <c r="I77" s="54"/>
      <c r="J77" s="172" t="s">
        <v>1013</v>
      </c>
      <c r="K77" s="54" t="s">
        <v>1096</v>
      </c>
      <c r="L77" s="54" t="s">
        <v>715</v>
      </c>
      <c r="M77" s="59"/>
      <c r="N77" s="59"/>
      <c r="O77" s="54" t="s">
        <v>715</v>
      </c>
      <c r="P77" s="60"/>
      <c r="Q77" s="60"/>
      <c r="R77" s="54"/>
      <c r="S77" s="54"/>
      <c r="T77" s="54"/>
      <c r="U77" s="61">
        <v>0.92</v>
      </c>
      <c r="V77" s="167"/>
      <c r="W77" s="167"/>
      <c r="X77" s="66">
        <f t="shared" si="3"/>
        <v>0.92</v>
      </c>
      <c r="Y77" s="219">
        <v>1589</v>
      </c>
      <c r="Z77" s="192" t="str">
        <f t="shared" si="4"/>
        <v>F</v>
      </c>
      <c r="AA77" s="172" t="s">
        <v>1396</v>
      </c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</row>
    <row r="78" spans="1:38" s="45" customFormat="1">
      <c r="A78" s="53">
        <v>181</v>
      </c>
      <c r="B78" s="54" t="s">
        <v>766</v>
      </c>
      <c r="C78" s="54">
        <v>2009</v>
      </c>
      <c r="D78" s="90" t="s">
        <v>767</v>
      </c>
      <c r="E78" s="84" t="s">
        <v>49</v>
      </c>
      <c r="F78" s="85" t="s">
        <v>806</v>
      </c>
      <c r="G78" s="54" t="s">
        <v>821</v>
      </c>
      <c r="H78" s="74" t="s">
        <v>581</v>
      </c>
      <c r="I78" s="74"/>
      <c r="J78" s="74" t="s">
        <v>1013</v>
      </c>
      <c r="K78" s="74" t="s">
        <v>1096</v>
      </c>
      <c r="L78" s="85" t="s">
        <v>775</v>
      </c>
      <c r="M78" s="85" t="s">
        <v>164</v>
      </c>
      <c r="N78" s="85"/>
      <c r="O78" s="85" t="s">
        <v>823</v>
      </c>
      <c r="P78" s="85"/>
      <c r="Q78" s="85"/>
      <c r="R78" s="54"/>
      <c r="S78" s="54"/>
      <c r="T78" s="54"/>
      <c r="U78" s="93">
        <v>0.91865929800000001</v>
      </c>
      <c r="V78" s="93"/>
      <c r="W78" s="93"/>
      <c r="X78" s="66">
        <f t="shared" si="3"/>
        <v>0.91865929800000001</v>
      </c>
      <c r="Y78" s="226">
        <v>1638.9345350000001</v>
      </c>
      <c r="Z78" s="192" t="str">
        <f t="shared" si="4"/>
        <v>F</v>
      </c>
      <c r="AA78" s="172" t="s">
        <v>1396</v>
      </c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</row>
    <row r="79" spans="1:38" s="45" customFormat="1">
      <c r="A79" s="53">
        <v>181</v>
      </c>
      <c r="B79" s="54" t="s">
        <v>766</v>
      </c>
      <c r="C79" s="54">
        <v>2009</v>
      </c>
      <c r="D79" s="90" t="s">
        <v>767</v>
      </c>
      <c r="E79" s="84" t="s">
        <v>49</v>
      </c>
      <c r="F79" s="85" t="s">
        <v>780</v>
      </c>
      <c r="G79" s="54" t="s">
        <v>786</v>
      </c>
      <c r="H79" s="74" t="s">
        <v>159</v>
      </c>
      <c r="I79" s="74"/>
      <c r="J79" s="74" t="s">
        <v>1013</v>
      </c>
      <c r="K79" s="74" t="s">
        <v>1096</v>
      </c>
      <c r="L79" s="85" t="s">
        <v>782</v>
      </c>
      <c r="M79" s="85" t="s">
        <v>164</v>
      </c>
      <c r="N79" s="85"/>
      <c r="O79" s="85" t="s">
        <v>840</v>
      </c>
      <c r="P79" s="85"/>
      <c r="Q79" s="85"/>
      <c r="R79" s="54"/>
      <c r="S79" s="54"/>
      <c r="T79" s="54"/>
      <c r="U79" s="93">
        <v>0.91831407899999995</v>
      </c>
      <c r="V79" s="93"/>
      <c r="W79" s="93"/>
      <c r="X79" s="66">
        <f t="shared" si="3"/>
        <v>0.91831407899999995</v>
      </c>
      <c r="Y79" s="226">
        <v>1640.3190999999999</v>
      </c>
      <c r="Z79" s="192" t="str">
        <f t="shared" si="4"/>
        <v>F</v>
      </c>
      <c r="AA79" s="172" t="s">
        <v>1396</v>
      </c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</row>
    <row r="80" spans="1:38" s="45" customFormat="1">
      <c r="A80" s="53">
        <v>181</v>
      </c>
      <c r="B80" s="54" t="s">
        <v>766</v>
      </c>
      <c r="C80" s="54">
        <v>2009</v>
      </c>
      <c r="D80" s="90" t="s">
        <v>767</v>
      </c>
      <c r="E80" s="84" t="s">
        <v>49</v>
      </c>
      <c r="F80" s="85" t="s">
        <v>806</v>
      </c>
      <c r="G80" s="54" t="s">
        <v>777</v>
      </c>
      <c r="H80" s="74" t="s">
        <v>581</v>
      </c>
      <c r="I80" s="74"/>
      <c r="J80" s="74" t="s">
        <v>1013</v>
      </c>
      <c r="K80" s="74" t="s">
        <v>1096</v>
      </c>
      <c r="L80" s="85" t="s">
        <v>775</v>
      </c>
      <c r="M80" s="85" t="s">
        <v>164</v>
      </c>
      <c r="N80" s="85"/>
      <c r="O80" s="85" t="s">
        <v>828</v>
      </c>
      <c r="P80" s="85"/>
      <c r="Q80" s="85"/>
      <c r="R80" s="54"/>
      <c r="S80" s="54"/>
      <c r="T80" s="54"/>
      <c r="U80" s="93">
        <v>0.91809654699999999</v>
      </c>
      <c r="V80" s="93"/>
      <c r="W80" s="93"/>
      <c r="X80" s="66">
        <f t="shared" si="3"/>
        <v>0.91809654699999999</v>
      </c>
      <c r="Y80" s="226">
        <v>1639.931004</v>
      </c>
      <c r="Z80" s="192" t="str">
        <f t="shared" si="4"/>
        <v>F</v>
      </c>
      <c r="AA80" s="172" t="s">
        <v>1396</v>
      </c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</row>
    <row r="81" spans="1:38" s="45" customFormat="1">
      <c r="A81" s="172"/>
      <c r="B81" s="73" t="s">
        <v>766</v>
      </c>
      <c r="C81" s="54">
        <v>2013</v>
      </c>
      <c r="D81" s="66"/>
      <c r="E81" s="56" t="s">
        <v>172</v>
      </c>
      <c r="F81" s="54">
        <v>2011</v>
      </c>
      <c r="G81" s="54" t="s">
        <v>631</v>
      </c>
      <c r="H81" s="66" t="s">
        <v>159</v>
      </c>
      <c r="I81" s="66" t="s">
        <v>1014</v>
      </c>
      <c r="J81" s="74" t="s">
        <v>1013</v>
      </c>
      <c r="K81" s="74" t="s">
        <v>1096</v>
      </c>
      <c r="L81" s="54" t="s">
        <v>978</v>
      </c>
      <c r="M81" s="172"/>
      <c r="N81" s="172"/>
      <c r="O81" s="66" t="s">
        <v>977</v>
      </c>
      <c r="P81" s="172"/>
      <c r="Q81" s="172"/>
      <c r="R81" s="172"/>
      <c r="S81" s="172"/>
      <c r="T81" s="172"/>
      <c r="U81" s="54">
        <v>0.91800000000000004</v>
      </c>
      <c r="V81" s="172"/>
      <c r="W81" s="172"/>
      <c r="X81" s="66">
        <f t="shared" si="3"/>
        <v>0.91800000000000004</v>
      </c>
      <c r="Y81" s="72">
        <v>1671</v>
      </c>
      <c r="Z81" s="192" t="str">
        <f t="shared" si="4"/>
        <v>F</v>
      </c>
      <c r="AA81" s="172" t="s">
        <v>1396</v>
      </c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</row>
    <row r="82" spans="1:38" s="45" customFormat="1">
      <c r="A82" s="53">
        <v>181</v>
      </c>
      <c r="B82" s="54" t="s">
        <v>766</v>
      </c>
      <c r="C82" s="54">
        <v>2009</v>
      </c>
      <c r="D82" s="90" t="s">
        <v>767</v>
      </c>
      <c r="E82" s="90" t="s">
        <v>49</v>
      </c>
      <c r="F82" s="79"/>
      <c r="G82" s="54" t="s">
        <v>777</v>
      </c>
      <c r="H82" s="78" t="s">
        <v>581</v>
      </c>
      <c r="I82" s="78"/>
      <c r="J82" s="74" t="s">
        <v>1013</v>
      </c>
      <c r="K82" s="74" t="s">
        <v>1096</v>
      </c>
      <c r="L82" s="79" t="s">
        <v>775</v>
      </c>
      <c r="M82" s="79" t="s">
        <v>164</v>
      </c>
      <c r="N82" s="79"/>
      <c r="O82" s="79" t="s">
        <v>779</v>
      </c>
      <c r="P82" s="79"/>
      <c r="Q82" s="79"/>
      <c r="R82" s="54"/>
      <c r="S82" s="54"/>
      <c r="T82" s="54"/>
      <c r="U82" s="94">
        <v>0.91637743400000005</v>
      </c>
      <c r="V82" s="94"/>
      <c r="W82" s="94"/>
      <c r="X82" s="66">
        <f t="shared" si="3"/>
        <v>0.91637743400000005</v>
      </c>
      <c r="Y82" s="220">
        <v>1622.2827930000001</v>
      </c>
      <c r="Z82" s="192" t="str">
        <f t="shared" si="4"/>
        <v>F</v>
      </c>
      <c r="AA82" s="172" t="s">
        <v>1396</v>
      </c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</row>
    <row r="83" spans="1:38" s="45" customFormat="1">
      <c r="A83" s="53">
        <v>181</v>
      </c>
      <c r="B83" s="54" t="s">
        <v>766</v>
      </c>
      <c r="C83" s="54">
        <v>2009</v>
      </c>
      <c r="D83" s="90" t="s">
        <v>767</v>
      </c>
      <c r="E83" s="84" t="s">
        <v>49</v>
      </c>
      <c r="F83" s="85"/>
      <c r="G83" s="54" t="s">
        <v>777</v>
      </c>
      <c r="H83" s="74" t="s">
        <v>581</v>
      </c>
      <c r="I83" s="74"/>
      <c r="J83" s="74" t="s">
        <v>1013</v>
      </c>
      <c r="K83" s="74" t="s">
        <v>1096</v>
      </c>
      <c r="L83" s="85" t="s">
        <v>775</v>
      </c>
      <c r="M83" s="85" t="s">
        <v>164</v>
      </c>
      <c r="N83" s="85"/>
      <c r="O83" s="85" t="s">
        <v>779</v>
      </c>
      <c r="P83" s="85"/>
      <c r="Q83" s="85"/>
      <c r="R83" s="54"/>
      <c r="S83" s="54"/>
      <c r="T83" s="54"/>
      <c r="U83" s="93">
        <v>0.91637743400000005</v>
      </c>
      <c r="V83" s="93"/>
      <c r="W83" s="93"/>
      <c r="X83" s="66">
        <f t="shared" si="3"/>
        <v>0.91637743400000005</v>
      </c>
      <c r="Y83" s="226">
        <v>1622.2827930000001</v>
      </c>
      <c r="Z83" s="192" t="str">
        <f t="shared" si="4"/>
        <v>F</v>
      </c>
      <c r="AA83" s="172" t="s">
        <v>1396</v>
      </c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</row>
    <row r="84" spans="1:38" s="45" customFormat="1">
      <c r="A84" s="53">
        <v>181</v>
      </c>
      <c r="B84" s="54" t="s">
        <v>766</v>
      </c>
      <c r="C84" s="54">
        <v>2009</v>
      </c>
      <c r="D84" s="90" t="s">
        <v>767</v>
      </c>
      <c r="E84" s="84" t="s">
        <v>49</v>
      </c>
      <c r="F84" s="85" t="s">
        <v>780</v>
      </c>
      <c r="G84" s="54" t="s">
        <v>781</v>
      </c>
      <c r="H84" s="74" t="s">
        <v>95</v>
      </c>
      <c r="I84" s="74"/>
      <c r="J84" s="78" t="s">
        <v>1013</v>
      </c>
      <c r="K84" s="78" t="s">
        <v>1096</v>
      </c>
      <c r="L84" s="85" t="s">
        <v>782</v>
      </c>
      <c r="M84" s="85" t="s">
        <v>783</v>
      </c>
      <c r="N84" s="85" t="s">
        <v>784</v>
      </c>
      <c r="O84" s="85" t="s">
        <v>803</v>
      </c>
      <c r="P84" s="85"/>
      <c r="Q84" s="85"/>
      <c r="R84" s="54"/>
      <c r="S84" s="54"/>
      <c r="T84" s="54"/>
      <c r="U84" s="93">
        <v>0.91620070099999995</v>
      </c>
      <c r="V84" s="93"/>
      <c r="W84" s="93"/>
      <c r="X84" s="66">
        <f t="shared" si="3"/>
        <v>0.91620070099999995</v>
      </c>
      <c r="Y84" s="226">
        <v>1609.4</v>
      </c>
      <c r="Z84" s="192" t="str">
        <f t="shared" si="4"/>
        <v>F</v>
      </c>
      <c r="AA84" s="172" t="s">
        <v>1396</v>
      </c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</row>
    <row r="85" spans="1:38" s="45" customFormat="1">
      <c r="A85" s="172"/>
      <c r="B85" s="73" t="s">
        <v>766</v>
      </c>
      <c r="C85" s="54">
        <v>2013</v>
      </c>
      <c r="D85" s="66"/>
      <c r="E85" s="56" t="s">
        <v>172</v>
      </c>
      <c r="F85" s="54">
        <v>2011</v>
      </c>
      <c r="G85" s="54" t="s">
        <v>631</v>
      </c>
      <c r="H85" s="66" t="s">
        <v>159</v>
      </c>
      <c r="I85" s="66" t="s">
        <v>1014</v>
      </c>
      <c r="J85" s="74" t="s">
        <v>1013</v>
      </c>
      <c r="K85" s="74" t="s">
        <v>1096</v>
      </c>
      <c r="L85" s="54" t="s">
        <v>975</v>
      </c>
      <c r="M85" s="172"/>
      <c r="N85" s="172"/>
      <c r="O85" s="66" t="s">
        <v>976</v>
      </c>
      <c r="P85" s="172"/>
      <c r="Q85" s="172"/>
      <c r="R85" s="172"/>
      <c r="S85" s="172"/>
      <c r="T85" s="172"/>
      <c r="U85" s="54">
        <v>0.91600000000000004</v>
      </c>
      <c r="V85" s="172"/>
      <c r="W85" s="172"/>
      <c r="X85" s="66">
        <f t="shared" si="3"/>
        <v>0.91600000000000004</v>
      </c>
      <c r="Y85" s="72">
        <v>1668</v>
      </c>
      <c r="Z85" s="192" t="str">
        <f t="shared" si="4"/>
        <v>F</v>
      </c>
      <c r="AA85" s="172" t="s">
        <v>1396</v>
      </c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</row>
    <row r="86" spans="1:38" s="45" customFormat="1">
      <c r="A86" s="53">
        <v>181</v>
      </c>
      <c r="B86" s="54" t="s">
        <v>766</v>
      </c>
      <c r="C86" s="54">
        <v>2009</v>
      </c>
      <c r="D86" s="90" t="s">
        <v>767</v>
      </c>
      <c r="E86" s="84" t="s">
        <v>49</v>
      </c>
      <c r="F86" s="85" t="s">
        <v>829</v>
      </c>
      <c r="G86" s="54" t="s">
        <v>786</v>
      </c>
      <c r="H86" s="74" t="s">
        <v>159</v>
      </c>
      <c r="I86" s="74"/>
      <c r="J86" s="74" t="s">
        <v>1013</v>
      </c>
      <c r="K86" s="74" t="s">
        <v>1096</v>
      </c>
      <c r="L86" s="85" t="s">
        <v>782</v>
      </c>
      <c r="M86" s="85" t="s">
        <v>164</v>
      </c>
      <c r="N86" s="85"/>
      <c r="O86" s="85" t="s">
        <v>830</v>
      </c>
      <c r="P86" s="85"/>
      <c r="Q86" s="85"/>
      <c r="R86" s="54"/>
      <c r="S86" s="54"/>
      <c r="T86" s="54"/>
      <c r="U86" s="93">
        <v>0.91426053399999996</v>
      </c>
      <c r="V86" s="93"/>
      <c r="W86" s="93"/>
      <c r="X86" s="66">
        <f t="shared" si="3"/>
        <v>0.91426053399999996</v>
      </c>
      <c r="Y86" s="226">
        <v>1632.3128979999999</v>
      </c>
      <c r="Z86" s="192" t="str">
        <f t="shared" si="4"/>
        <v>F</v>
      </c>
      <c r="AA86" s="172" t="s">
        <v>1396</v>
      </c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</row>
    <row r="87" spans="1:38" s="45" customFormat="1">
      <c r="A87" s="53">
        <v>181</v>
      </c>
      <c r="B87" s="54" t="s">
        <v>766</v>
      </c>
      <c r="C87" s="54">
        <v>2009</v>
      </c>
      <c r="D87" s="90" t="s">
        <v>767</v>
      </c>
      <c r="E87" s="84" t="s">
        <v>49</v>
      </c>
      <c r="F87" s="85" t="s">
        <v>773</v>
      </c>
      <c r="G87" s="54" t="s">
        <v>777</v>
      </c>
      <c r="H87" s="74" t="s">
        <v>581</v>
      </c>
      <c r="I87" s="74"/>
      <c r="J87" s="74" t="s">
        <v>1013</v>
      </c>
      <c r="K87" s="74" t="s">
        <v>1096</v>
      </c>
      <c r="L87" s="85" t="s">
        <v>775</v>
      </c>
      <c r="M87" s="85" t="s">
        <v>164</v>
      </c>
      <c r="N87" s="85"/>
      <c r="O87" s="85" t="s">
        <v>778</v>
      </c>
      <c r="P87" s="85"/>
      <c r="Q87" s="85"/>
      <c r="R87" s="54"/>
      <c r="S87" s="54"/>
      <c r="T87" s="54"/>
      <c r="U87" s="93">
        <v>0.91048192400000005</v>
      </c>
      <c r="V87" s="93"/>
      <c r="W87" s="93"/>
      <c r="X87" s="66">
        <f t="shared" si="3"/>
        <v>0.91048192400000005</v>
      </c>
      <c r="Y87" s="226">
        <v>1607.441636</v>
      </c>
      <c r="Z87" s="192" t="str">
        <f t="shared" si="4"/>
        <v>F</v>
      </c>
      <c r="AA87" s="172" t="s">
        <v>1396</v>
      </c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</row>
    <row r="88" spans="1:38" s="45" customFormat="1">
      <c r="A88" s="53">
        <v>203</v>
      </c>
      <c r="B88" s="73" t="s">
        <v>940</v>
      </c>
      <c r="C88" s="54">
        <v>2011</v>
      </c>
      <c r="D88" s="73" t="s">
        <v>941</v>
      </c>
      <c r="E88" s="56" t="s">
        <v>20</v>
      </c>
      <c r="F88" s="54">
        <v>2009</v>
      </c>
      <c r="G88" s="54" t="s">
        <v>326</v>
      </c>
      <c r="H88" s="54"/>
      <c r="I88" s="54"/>
      <c r="J88" s="172" t="s">
        <v>1013</v>
      </c>
      <c r="K88" s="54" t="s">
        <v>1096</v>
      </c>
      <c r="L88" s="54" t="s">
        <v>715</v>
      </c>
      <c r="M88" s="54"/>
      <c r="N88" s="54"/>
      <c r="O88" s="54">
        <v>57</v>
      </c>
      <c r="P88" s="54"/>
      <c r="Q88" s="54"/>
      <c r="R88" s="54"/>
      <c r="S88" s="54"/>
      <c r="T88" s="54"/>
      <c r="U88" s="54">
        <v>0.91</v>
      </c>
      <c r="V88" s="54"/>
      <c r="W88" s="54"/>
      <c r="X88" s="66">
        <f t="shared" si="3"/>
        <v>0.91</v>
      </c>
      <c r="Y88" s="72">
        <v>1603</v>
      </c>
      <c r="Z88" s="192" t="str">
        <f t="shared" si="4"/>
        <v>F</v>
      </c>
      <c r="AA88" s="172" t="s">
        <v>1396</v>
      </c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</row>
    <row r="89" spans="1:38" s="45" customFormat="1">
      <c r="A89" s="53">
        <v>181</v>
      </c>
      <c r="B89" s="54" t="s">
        <v>766</v>
      </c>
      <c r="C89" s="54">
        <v>2009</v>
      </c>
      <c r="D89" s="90" t="s">
        <v>767</v>
      </c>
      <c r="E89" s="90" t="s">
        <v>49</v>
      </c>
      <c r="F89" s="79" t="s">
        <v>780</v>
      </c>
      <c r="G89" s="54" t="s">
        <v>786</v>
      </c>
      <c r="H89" s="78" t="s">
        <v>159</v>
      </c>
      <c r="I89" s="78"/>
      <c r="J89" s="74" t="s">
        <v>1013</v>
      </c>
      <c r="K89" s="74" t="s">
        <v>1096</v>
      </c>
      <c r="L89" s="79" t="s">
        <v>782</v>
      </c>
      <c r="M89" s="79" t="s">
        <v>164</v>
      </c>
      <c r="N89" s="79"/>
      <c r="O89" s="79" t="s">
        <v>787</v>
      </c>
      <c r="P89" s="79"/>
      <c r="Q89" s="79"/>
      <c r="R89" s="54"/>
      <c r="S89" s="54"/>
      <c r="T89" s="54"/>
      <c r="U89" s="94">
        <v>0.90993638700000001</v>
      </c>
      <c r="V89" s="94"/>
      <c r="W89" s="94"/>
      <c r="X89" s="66">
        <f t="shared" si="3"/>
        <v>0.90993638700000001</v>
      </c>
      <c r="Y89" s="220">
        <v>1609.532727</v>
      </c>
      <c r="Z89" s="192" t="str">
        <f t="shared" si="4"/>
        <v>F</v>
      </c>
      <c r="AA89" s="172" t="s">
        <v>1396</v>
      </c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</row>
    <row r="90" spans="1:38" s="45" customFormat="1">
      <c r="A90" s="53">
        <v>181</v>
      </c>
      <c r="B90" s="54" t="s">
        <v>766</v>
      </c>
      <c r="C90" s="54">
        <v>2009</v>
      </c>
      <c r="D90" s="90" t="s">
        <v>767</v>
      </c>
      <c r="E90" s="90" t="s">
        <v>49</v>
      </c>
      <c r="F90" s="79" t="s">
        <v>780</v>
      </c>
      <c r="G90" s="54" t="s">
        <v>781</v>
      </c>
      <c r="H90" s="78" t="s">
        <v>95</v>
      </c>
      <c r="I90" s="78"/>
      <c r="J90" s="78" t="s">
        <v>1013</v>
      </c>
      <c r="K90" s="78" t="s">
        <v>1096</v>
      </c>
      <c r="L90" s="79" t="s">
        <v>782</v>
      </c>
      <c r="M90" s="79" t="s">
        <v>783</v>
      </c>
      <c r="N90" s="79" t="s">
        <v>784</v>
      </c>
      <c r="O90" s="79" t="s">
        <v>785</v>
      </c>
      <c r="P90" s="79"/>
      <c r="Q90" s="79"/>
      <c r="R90" s="54"/>
      <c r="S90" s="54"/>
      <c r="T90" s="54"/>
      <c r="U90" s="94">
        <v>0.90572357999999997</v>
      </c>
      <c r="V90" s="94"/>
      <c r="W90" s="94"/>
      <c r="X90" s="66">
        <f t="shared" si="3"/>
        <v>0.90572357999999997</v>
      </c>
      <c r="Y90" s="220">
        <v>1600.905542</v>
      </c>
      <c r="Z90" s="192" t="str">
        <f t="shared" si="4"/>
        <v>F</v>
      </c>
      <c r="AA90" s="172" t="s">
        <v>1396</v>
      </c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</row>
    <row r="91" spans="1:38" s="45" customFormat="1">
      <c r="A91" s="172"/>
      <c r="B91" s="73" t="s">
        <v>766</v>
      </c>
      <c r="C91" s="54">
        <v>2013</v>
      </c>
      <c r="D91" s="66"/>
      <c r="E91" s="56" t="s">
        <v>172</v>
      </c>
      <c r="F91" s="54">
        <v>2011</v>
      </c>
      <c r="G91" s="54" t="s">
        <v>631</v>
      </c>
      <c r="H91" s="66" t="s">
        <v>159</v>
      </c>
      <c r="I91" s="66" t="s">
        <v>1014</v>
      </c>
      <c r="J91" s="74" t="s">
        <v>1013</v>
      </c>
      <c r="K91" s="74" t="s">
        <v>1096</v>
      </c>
      <c r="L91" s="54" t="s">
        <v>975</v>
      </c>
      <c r="M91" s="172"/>
      <c r="N91" s="172"/>
      <c r="O91" s="66" t="s">
        <v>976</v>
      </c>
      <c r="P91" s="172"/>
      <c r="Q91" s="172"/>
      <c r="R91" s="172"/>
      <c r="S91" s="172"/>
      <c r="T91" s="172"/>
      <c r="U91" s="54">
        <v>0.90400000000000003</v>
      </c>
      <c r="V91" s="172"/>
      <c r="W91" s="172"/>
      <c r="X91" s="66">
        <f t="shared" si="3"/>
        <v>0.90400000000000003</v>
      </c>
      <c r="Y91" s="72">
        <v>1642</v>
      </c>
      <c r="Z91" s="192" t="str">
        <f t="shared" si="4"/>
        <v>F</v>
      </c>
      <c r="AA91" s="172" t="s">
        <v>1396</v>
      </c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</row>
    <row r="92" spans="1:38" s="45" customFormat="1">
      <c r="A92" s="53">
        <v>181</v>
      </c>
      <c r="B92" s="54" t="s">
        <v>766</v>
      </c>
      <c r="C92" s="54">
        <v>2009</v>
      </c>
      <c r="D92" s="90" t="s">
        <v>767</v>
      </c>
      <c r="E92" s="84" t="s">
        <v>49</v>
      </c>
      <c r="F92" s="85" t="s">
        <v>780</v>
      </c>
      <c r="G92" s="54" t="s">
        <v>786</v>
      </c>
      <c r="H92" s="74" t="s">
        <v>159</v>
      </c>
      <c r="I92" s="74"/>
      <c r="J92" s="74" t="s">
        <v>1013</v>
      </c>
      <c r="K92" s="74" t="s">
        <v>1096</v>
      </c>
      <c r="L92" s="85" t="s">
        <v>782</v>
      </c>
      <c r="M92" s="85" t="s">
        <v>164</v>
      </c>
      <c r="N92" s="85"/>
      <c r="O92" s="85" t="s">
        <v>813</v>
      </c>
      <c r="P92" s="85"/>
      <c r="Q92" s="85"/>
      <c r="R92" s="54"/>
      <c r="S92" s="54"/>
      <c r="T92" s="54"/>
      <c r="U92" s="93">
        <v>0.90398989900000004</v>
      </c>
      <c r="V92" s="93"/>
      <c r="W92" s="93"/>
      <c r="X92" s="66">
        <f t="shared" si="3"/>
        <v>0.90398989900000004</v>
      </c>
      <c r="Y92" s="226">
        <v>1584.390349</v>
      </c>
      <c r="Z92" s="192" t="str">
        <f t="shared" si="4"/>
        <v>F</v>
      </c>
      <c r="AA92" s="172" t="s">
        <v>1396</v>
      </c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</row>
    <row r="93" spans="1:38" s="45" customFormat="1">
      <c r="A93" s="53">
        <v>181</v>
      </c>
      <c r="B93" s="54" t="s">
        <v>766</v>
      </c>
      <c r="C93" s="54">
        <v>2009</v>
      </c>
      <c r="D93" s="90" t="s">
        <v>767</v>
      </c>
      <c r="E93" s="84" t="s">
        <v>49</v>
      </c>
      <c r="F93" s="85" t="s">
        <v>780</v>
      </c>
      <c r="G93" s="54" t="s">
        <v>781</v>
      </c>
      <c r="H93" s="74" t="s">
        <v>95</v>
      </c>
      <c r="I93" s="74"/>
      <c r="J93" s="78" t="s">
        <v>1013</v>
      </c>
      <c r="K93" s="78" t="s">
        <v>1096</v>
      </c>
      <c r="L93" s="85" t="s">
        <v>782</v>
      </c>
      <c r="M93" s="85" t="s">
        <v>783</v>
      </c>
      <c r="N93" s="85" t="s">
        <v>784</v>
      </c>
      <c r="O93" s="85" t="s">
        <v>816</v>
      </c>
      <c r="P93" s="85"/>
      <c r="Q93" s="85"/>
      <c r="R93" s="54"/>
      <c r="S93" s="54"/>
      <c r="T93" s="54"/>
      <c r="U93" s="93">
        <v>0.89980392300000001</v>
      </c>
      <c r="V93" s="93"/>
      <c r="W93" s="93"/>
      <c r="X93" s="66">
        <f t="shared" si="3"/>
        <v>0.89980392300000001</v>
      </c>
      <c r="Y93" s="226">
        <v>1603</v>
      </c>
      <c r="Z93" s="192" t="str">
        <f t="shared" si="4"/>
        <v>S</v>
      </c>
      <c r="AA93" s="172" t="s">
        <v>1396</v>
      </c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</row>
    <row r="94" spans="1:38" s="45" customFormat="1">
      <c r="A94" s="53">
        <v>181</v>
      </c>
      <c r="B94" s="54" t="s">
        <v>766</v>
      </c>
      <c r="C94" s="54">
        <v>2009</v>
      </c>
      <c r="D94" s="90" t="s">
        <v>767</v>
      </c>
      <c r="E94" s="84" t="s">
        <v>49</v>
      </c>
      <c r="F94" s="85" t="s">
        <v>773</v>
      </c>
      <c r="G94" s="54" t="s">
        <v>774</v>
      </c>
      <c r="H94" s="74" t="s">
        <v>581</v>
      </c>
      <c r="I94" s="74"/>
      <c r="J94" s="74" t="s">
        <v>1013</v>
      </c>
      <c r="K94" s="74" t="s">
        <v>1096</v>
      </c>
      <c r="L94" s="85" t="s">
        <v>775</v>
      </c>
      <c r="M94" s="85" t="s">
        <v>164</v>
      </c>
      <c r="N94" s="85"/>
      <c r="O94" s="85" t="s">
        <v>776</v>
      </c>
      <c r="P94" s="85"/>
      <c r="Q94" s="85"/>
      <c r="R94" s="54"/>
      <c r="S94" s="54"/>
      <c r="T94" s="54"/>
      <c r="U94" s="93">
        <v>0.88962645699999998</v>
      </c>
      <c r="V94" s="93"/>
      <c r="W94" s="93"/>
      <c r="X94" s="66">
        <f t="shared" si="3"/>
        <v>0.88962645699999998</v>
      </c>
      <c r="Y94" s="226">
        <v>1605.3097809999999</v>
      </c>
      <c r="Z94" s="192" t="str">
        <f t="shared" si="4"/>
        <v>S</v>
      </c>
      <c r="AA94" s="172" t="s">
        <v>1396</v>
      </c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</row>
    <row r="95" spans="1:38" s="45" customFormat="1">
      <c r="A95" s="53">
        <v>197</v>
      </c>
      <c r="B95" s="73" t="s">
        <v>875</v>
      </c>
      <c r="C95" s="54">
        <v>2007</v>
      </c>
      <c r="D95" s="73" t="s">
        <v>928</v>
      </c>
      <c r="E95" s="56" t="s">
        <v>20</v>
      </c>
      <c r="F95" s="54">
        <v>2003</v>
      </c>
      <c r="G95" s="54" t="s">
        <v>326</v>
      </c>
      <c r="H95" s="54" t="s">
        <v>159</v>
      </c>
      <c r="I95" s="54"/>
      <c r="J95" s="172" t="s">
        <v>1013</v>
      </c>
      <c r="K95" s="54" t="s">
        <v>1069</v>
      </c>
      <c r="L95" s="54" t="s">
        <v>403</v>
      </c>
      <c r="M95" s="54"/>
      <c r="N95" s="54"/>
      <c r="O95" s="54" t="s">
        <v>931</v>
      </c>
      <c r="P95" s="54">
        <v>0.97</v>
      </c>
      <c r="Q95" s="54"/>
      <c r="R95" s="54">
        <f>+P95</f>
        <v>0.97</v>
      </c>
      <c r="S95" s="54">
        <v>0.98</v>
      </c>
      <c r="T95" s="54"/>
      <c r="U95" s="54">
        <f>+S95</f>
        <v>0.98</v>
      </c>
      <c r="V95" s="54">
        <v>1781.9</v>
      </c>
      <c r="W95" s="54"/>
      <c r="X95" s="66">
        <f t="shared" si="3"/>
        <v>0.97</v>
      </c>
      <c r="Y95" s="72">
        <f>+V95</f>
        <v>1781.9</v>
      </c>
      <c r="Z95" s="192" t="str">
        <f t="shared" si="4"/>
        <v>F</v>
      </c>
      <c r="AA95" s="172" t="s">
        <v>1396</v>
      </c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</row>
    <row r="96" spans="1:38" s="45" customFormat="1">
      <c r="A96" s="53">
        <v>172</v>
      </c>
      <c r="B96" s="54" t="s">
        <v>585</v>
      </c>
      <c r="C96" s="54">
        <v>2010</v>
      </c>
      <c r="D96" s="54" t="s">
        <v>586</v>
      </c>
      <c r="E96" s="56" t="s">
        <v>589</v>
      </c>
      <c r="F96" s="57">
        <v>40235</v>
      </c>
      <c r="G96" s="54" t="s">
        <v>631</v>
      </c>
      <c r="H96" s="54" t="s">
        <v>159</v>
      </c>
      <c r="I96" s="54"/>
      <c r="J96" s="66" t="s">
        <v>1013</v>
      </c>
      <c r="K96" s="54" t="s">
        <v>1069</v>
      </c>
      <c r="L96" s="54" t="s">
        <v>634</v>
      </c>
      <c r="M96" s="59" t="s">
        <v>635</v>
      </c>
      <c r="N96" s="59"/>
      <c r="O96" s="54"/>
      <c r="P96" s="60"/>
      <c r="Q96" s="60"/>
      <c r="R96" s="54"/>
      <c r="S96" s="54"/>
      <c r="T96" s="54"/>
      <c r="U96" s="61">
        <v>0.95899999999999996</v>
      </c>
      <c r="V96" s="167"/>
      <c r="W96" s="167"/>
      <c r="X96" s="66">
        <f t="shared" si="3"/>
        <v>0.95899999999999996</v>
      </c>
      <c r="Y96" s="219">
        <v>1856</v>
      </c>
      <c r="Z96" s="192" t="str">
        <f t="shared" si="4"/>
        <v>F</v>
      </c>
      <c r="AA96" s="172" t="s">
        <v>1396</v>
      </c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</row>
    <row r="97" spans="1:38" s="45" customFormat="1">
      <c r="A97" s="53">
        <v>197</v>
      </c>
      <c r="B97" s="73" t="s">
        <v>875</v>
      </c>
      <c r="C97" s="54">
        <v>2007</v>
      </c>
      <c r="D97" s="73" t="s">
        <v>928</v>
      </c>
      <c r="E97" s="56" t="s">
        <v>20</v>
      </c>
      <c r="F97" s="54">
        <v>2003</v>
      </c>
      <c r="G97" s="54" t="s">
        <v>326</v>
      </c>
      <c r="H97" s="54" t="s">
        <v>159</v>
      </c>
      <c r="I97" s="54"/>
      <c r="J97" s="172" t="s">
        <v>1013</v>
      </c>
      <c r="K97" s="54" t="s">
        <v>1069</v>
      </c>
      <c r="L97" s="54" t="s">
        <v>403</v>
      </c>
      <c r="M97" s="54"/>
      <c r="N97" s="54"/>
      <c r="O97" s="54" t="s">
        <v>931</v>
      </c>
      <c r="P97" s="54"/>
      <c r="Q97" s="54">
        <v>0.87</v>
      </c>
      <c r="R97" s="54">
        <f>+Q97</f>
        <v>0.87</v>
      </c>
      <c r="S97" s="54"/>
      <c r="T97" s="54">
        <v>0.88</v>
      </c>
      <c r="U97" s="54">
        <f>+T97</f>
        <v>0.88</v>
      </c>
      <c r="V97" s="54"/>
      <c r="W97" s="54">
        <v>1596.9</v>
      </c>
      <c r="X97" s="66">
        <f t="shared" si="3"/>
        <v>0.87</v>
      </c>
      <c r="Y97" s="72">
        <f>+W97</f>
        <v>1596.9</v>
      </c>
      <c r="Z97" s="192" t="str">
        <f t="shared" si="4"/>
        <v>S</v>
      </c>
      <c r="AA97" s="172" t="s">
        <v>1396</v>
      </c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</row>
    <row r="98" spans="1:38" s="45" customFormat="1">
      <c r="A98" s="53">
        <v>118</v>
      </c>
      <c r="B98" s="73" t="s">
        <v>399</v>
      </c>
      <c r="C98" s="54">
        <v>1999</v>
      </c>
      <c r="D98" s="73" t="s">
        <v>400</v>
      </c>
      <c r="E98" s="56" t="s">
        <v>20</v>
      </c>
      <c r="F98" s="54">
        <v>1999</v>
      </c>
      <c r="G98" s="54" t="s">
        <v>326</v>
      </c>
      <c r="H98" s="54" t="s">
        <v>159</v>
      </c>
      <c r="I98" s="54"/>
      <c r="J98" s="66" t="s">
        <v>1013</v>
      </c>
      <c r="K98" s="54" t="s">
        <v>1056</v>
      </c>
      <c r="L98" s="54" t="s">
        <v>406</v>
      </c>
      <c r="M98" s="54"/>
      <c r="N98" s="54"/>
      <c r="O98" s="54">
        <v>4</v>
      </c>
      <c r="P98" s="54"/>
      <c r="Q98" s="54"/>
      <c r="R98" s="54"/>
      <c r="S98" s="54"/>
      <c r="T98" s="54"/>
      <c r="U98" s="54">
        <v>0.98</v>
      </c>
      <c r="V98" s="54"/>
      <c r="W98" s="54"/>
      <c r="X98" s="66">
        <f t="shared" si="3"/>
        <v>0.98</v>
      </c>
      <c r="Y98" s="72">
        <v>1932.8</v>
      </c>
      <c r="Z98" s="192" t="str">
        <f t="shared" ref="Z98:Z129" si="5">IF(X98&lt;&gt;"",IF(X98&lt;0.9,"S","F"),"")</f>
        <v>F</v>
      </c>
      <c r="AA98" s="172" t="s">
        <v>1396</v>
      </c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</row>
    <row r="99" spans="1:38" s="45" customFormat="1">
      <c r="A99" s="53">
        <v>118</v>
      </c>
      <c r="B99" s="73" t="s">
        <v>399</v>
      </c>
      <c r="C99" s="54">
        <v>1999</v>
      </c>
      <c r="D99" s="73" t="s">
        <v>400</v>
      </c>
      <c r="E99" s="56" t="s">
        <v>20</v>
      </c>
      <c r="F99" s="54">
        <v>1999</v>
      </c>
      <c r="G99" s="54" t="s">
        <v>326</v>
      </c>
      <c r="H99" s="54" t="s">
        <v>159</v>
      </c>
      <c r="I99" s="54"/>
      <c r="J99" s="66" t="s">
        <v>1013</v>
      </c>
      <c r="K99" s="54" t="s">
        <v>1056</v>
      </c>
      <c r="L99" s="54" t="s">
        <v>403</v>
      </c>
      <c r="M99" s="54"/>
      <c r="N99" s="54"/>
      <c r="O99" s="54">
        <v>1</v>
      </c>
      <c r="P99" s="54"/>
      <c r="Q99" s="54"/>
      <c r="R99" s="54"/>
      <c r="S99" s="54"/>
      <c r="T99" s="54"/>
      <c r="U99" s="54">
        <v>0.97</v>
      </c>
      <c r="V99" s="54"/>
      <c r="W99" s="54"/>
      <c r="X99" s="66">
        <f t="shared" si="3"/>
        <v>0.97</v>
      </c>
      <c r="Y99" s="72">
        <v>1918.8</v>
      </c>
      <c r="Z99" s="192" t="str">
        <f t="shared" si="5"/>
        <v>F</v>
      </c>
      <c r="AA99" s="172" t="s">
        <v>1396</v>
      </c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</row>
    <row r="100" spans="1:38" s="45" customFormat="1">
      <c r="A100" s="53">
        <v>197</v>
      </c>
      <c r="B100" s="73" t="s">
        <v>875</v>
      </c>
      <c r="C100" s="54">
        <v>2007</v>
      </c>
      <c r="D100" s="73" t="s">
        <v>928</v>
      </c>
      <c r="E100" s="56" t="s">
        <v>20</v>
      </c>
      <c r="F100" s="54">
        <v>2003</v>
      </c>
      <c r="G100" s="54" t="s">
        <v>326</v>
      </c>
      <c r="H100" s="54" t="s">
        <v>159</v>
      </c>
      <c r="I100" s="54"/>
      <c r="J100" s="172" t="s">
        <v>1013</v>
      </c>
      <c r="K100" s="54" t="s">
        <v>1111</v>
      </c>
      <c r="L100" s="54" t="s">
        <v>315</v>
      </c>
      <c r="M100" s="54"/>
      <c r="N100" s="54"/>
      <c r="O100" s="54" t="s">
        <v>930</v>
      </c>
      <c r="P100" s="54">
        <v>0.98</v>
      </c>
      <c r="Q100" s="54"/>
      <c r="R100" s="54">
        <f>+P100</f>
        <v>0.98</v>
      </c>
      <c r="S100" s="54">
        <v>0.99</v>
      </c>
      <c r="T100" s="54"/>
      <c r="U100" s="54">
        <f>+S100</f>
        <v>0.99</v>
      </c>
      <c r="V100" s="54">
        <v>1763.1</v>
      </c>
      <c r="W100" s="54"/>
      <c r="X100" s="66">
        <f t="shared" si="3"/>
        <v>0.98</v>
      </c>
      <c r="Y100" s="72">
        <f>+V100</f>
        <v>1763.1</v>
      </c>
      <c r="Z100" s="192" t="str">
        <f t="shared" si="5"/>
        <v>F</v>
      </c>
      <c r="AA100" s="172" t="s">
        <v>1396</v>
      </c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</row>
    <row r="101" spans="1:38" s="45" customFormat="1">
      <c r="A101" s="53">
        <v>197</v>
      </c>
      <c r="B101" s="73" t="s">
        <v>875</v>
      </c>
      <c r="C101" s="54">
        <v>2007</v>
      </c>
      <c r="D101" s="73" t="s">
        <v>928</v>
      </c>
      <c r="E101" s="56" t="s">
        <v>20</v>
      </c>
      <c r="F101" s="54">
        <v>2003</v>
      </c>
      <c r="G101" s="54" t="s">
        <v>326</v>
      </c>
      <c r="H101" s="54" t="s">
        <v>159</v>
      </c>
      <c r="I101" s="54"/>
      <c r="J101" s="172" t="s">
        <v>1013</v>
      </c>
      <c r="K101" s="54" t="s">
        <v>1111</v>
      </c>
      <c r="L101" s="54" t="s">
        <v>315</v>
      </c>
      <c r="M101" s="54"/>
      <c r="N101" s="54"/>
      <c r="O101" s="54" t="s">
        <v>930</v>
      </c>
      <c r="P101" s="54"/>
      <c r="Q101" s="54">
        <v>0.88</v>
      </c>
      <c r="R101" s="54">
        <f>+Q101</f>
        <v>0.88</v>
      </c>
      <c r="S101" s="54"/>
      <c r="T101" s="54">
        <v>0.89</v>
      </c>
      <c r="U101" s="54">
        <f>+T101</f>
        <v>0.89</v>
      </c>
      <c r="V101" s="54"/>
      <c r="W101" s="54">
        <v>1573.8</v>
      </c>
      <c r="X101" s="66">
        <f t="shared" si="3"/>
        <v>0.88</v>
      </c>
      <c r="Y101" s="72">
        <f>+W101</f>
        <v>1573.8</v>
      </c>
      <c r="Z101" s="192" t="str">
        <f t="shared" si="5"/>
        <v>S</v>
      </c>
      <c r="AA101" s="172" t="s">
        <v>1396</v>
      </c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</row>
    <row r="102" spans="1:38" s="45" customFormat="1">
      <c r="A102" s="53">
        <v>4</v>
      </c>
      <c r="B102" s="60" t="s">
        <v>16</v>
      </c>
      <c r="C102" s="60">
        <v>1969</v>
      </c>
      <c r="D102" s="60" t="s">
        <v>17</v>
      </c>
      <c r="E102" s="56" t="s">
        <v>20</v>
      </c>
      <c r="F102" s="54">
        <v>1968</v>
      </c>
      <c r="G102" s="54" t="s">
        <v>21</v>
      </c>
      <c r="H102" s="54" t="s">
        <v>23</v>
      </c>
      <c r="I102" s="54"/>
      <c r="J102" s="298" t="s">
        <v>1013</v>
      </c>
      <c r="K102" s="298" t="s">
        <v>1169</v>
      </c>
      <c r="L102" s="54" t="s">
        <v>29</v>
      </c>
      <c r="M102" s="54"/>
      <c r="N102" s="54"/>
      <c r="O102" s="54" t="s">
        <v>31</v>
      </c>
      <c r="P102" s="54"/>
      <c r="Q102" s="54"/>
      <c r="R102" s="54"/>
      <c r="S102" s="54"/>
      <c r="T102" s="54"/>
      <c r="U102" s="54"/>
      <c r="V102" s="54"/>
      <c r="W102" s="54"/>
      <c r="X102" s="66" t="str">
        <f t="shared" si="3"/>
        <v/>
      </c>
      <c r="Y102" s="72">
        <v>1395</v>
      </c>
      <c r="Z102" s="192" t="str">
        <f t="shared" si="5"/>
        <v/>
      </c>
      <c r="AA102" s="45" t="s">
        <v>1396</v>
      </c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</row>
    <row r="103" spans="1:38" s="45" customFormat="1">
      <c r="A103" s="53">
        <v>4</v>
      </c>
      <c r="B103" s="60" t="s">
        <v>16</v>
      </c>
      <c r="C103" s="60">
        <v>1969</v>
      </c>
      <c r="D103" s="60" t="s">
        <v>17</v>
      </c>
      <c r="E103" s="56" t="s">
        <v>20</v>
      </c>
      <c r="F103" s="54">
        <v>1968</v>
      </c>
      <c r="G103" s="54" t="s">
        <v>21</v>
      </c>
      <c r="H103" s="54" t="s">
        <v>23</v>
      </c>
      <c r="I103" s="54"/>
      <c r="J103" s="298" t="s">
        <v>1013</v>
      </c>
      <c r="K103" s="298" t="s">
        <v>1169</v>
      </c>
      <c r="L103" s="54" t="s">
        <v>29</v>
      </c>
      <c r="M103" s="54"/>
      <c r="N103" s="54"/>
      <c r="O103" s="54" t="s">
        <v>30</v>
      </c>
      <c r="P103" s="54"/>
      <c r="Q103" s="54"/>
      <c r="R103" s="54"/>
      <c r="S103" s="54"/>
      <c r="T103" s="54"/>
      <c r="U103" s="54"/>
      <c r="V103" s="54"/>
      <c r="W103" s="54"/>
      <c r="X103" s="66" t="str">
        <f t="shared" si="3"/>
        <v/>
      </c>
      <c r="Y103" s="72">
        <v>1554</v>
      </c>
      <c r="Z103" s="192" t="str">
        <f t="shared" si="5"/>
        <v/>
      </c>
      <c r="AA103" s="45" t="s">
        <v>1396</v>
      </c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</row>
    <row r="104" spans="1:38" s="45" customFormat="1">
      <c r="A104" s="172"/>
      <c r="B104" s="67" t="s">
        <v>968</v>
      </c>
      <c r="C104" s="171">
        <v>1996</v>
      </c>
      <c r="D104" s="172"/>
      <c r="E104" s="296" t="s">
        <v>172</v>
      </c>
      <c r="F104" s="172"/>
      <c r="G104" s="172"/>
      <c r="H104" s="67" t="s">
        <v>23</v>
      </c>
      <c r="I104" s="67"/>
      <c r="J104" s="66" t="s">
        <v>1013</v>
      </c>
      <c r="K104" s="67" t="s">
        <v>1006</v>
      </c>
      <c r="L104" s="67" t="s">
        <v>1006</v>
      </c>
      <c r="M104" s="67" t="s">
        <v>1007</v>
      </c>
      <c r="N104" s="67"/>
      <c r="O104" s="67" t="s">
        <v>1008</v>
      </c>
      <c r="P104" s="172"/>
      <c r="Q104" s="172"/>
      <c r="R104" s="172"/>
      <c r="S104" s="172"/>
      <c r="T104" s="172"/>
      <c r="U104" s="172"/>
      <c r="V104" s="172">
        <f>838*44/12/2</f>
        <v>1536.3333333333333</v>
      </c>
      <c r="W104" s="172"/>
      <c r="X104" s="66" t="str">
        <f t="shared" si="3"/>
        <v/>
      </c>
      <c r="Y104" s="297">
        <f>838*44/12/2</f>
        <v>1536.3333333333333</v>
      </c>
      <c r="Z104" s="192" t="str">
        <f t="shared" si="5"/>
        <v/>
      </c>
      <c r="AA104" s="172" t="s">
        <v>1396</v>
      </c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</row>
    <row r="105" spans="1:38" s="45" customFormat="1">
      <c r="A105" s="53">
        <v>173</v>
      </c>
      <c r="B105" s="54" t="s">
        <v>585</v>
      </c>
      <c r="C105" s="54">
        <v>2011</v>
      </c>
      <c r="D105" s="78" t="s">
        <v>636</v>
      </c>
      <c r="E105" s="56" t="s">
        <v>638</v>
      </c>
      <c r="F105" s="57" t="s">
        <v>656</v>
      </c>
      <c r="G105" s="54" t="s">
        <v>657</v>
      </c>
      <c r="H105" s="54" t="s">
        <v>146</v>
      </c>
      <c r="I105" s="54"/>
      <c r="J105" s="66" t="s">
        <v>1013</v>
      </c>
      <c r="K105" s="54" t="s">
        <v>1082</v>
      </c>
      <c r="L105" s="54" t="s">
        <v>658</v>
      </c>
      <c r="M105" s="59"/>
      <c r="N105" s="59"/>
      <c r="O105" s="54" t="s">
        <v>659</v>
      </c>
      <c r="P105" s="60"/>
      <c r="Q105" s="60"/>
      <c r="R105" s="54"/>
      <c r="S105" s="54"/>
      <c r="T105" s="54"/>
      <c r="U105" s="61">
        <v>0.91300000000000003</v>
      </c>
      <c r="V105" s="167"/>
      <c r="W105" s="167"/>
      <c r="X105" s="66">
        <f t="shared" si="3"/>
        <v>0.91300000000000003</v>
      </c>
      <c r="Y105" s="219">
        <v>1599</v>
      </c>
      <c r="Z105" s="192" t="str">
        <f t="shared" si="5"/>
        <v>F</v>
      </c>
      <c r="AA105" s="172" t="s">
        <v>1396</v>
      </c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</row>
    <row r="106" spans="1:38" s="45" customFormat="1">
      <c r="A106" s="53">
        <v>173</v>
      </c>
      <c r="B106" s="54" t="s">
        <v>585</v>
      </c>
      <c r="C106" s="54">
        <v>2011</v>
      </c>
      <c r="D106" s="78" t="s">
        <v>636</v>
      </c>
      <c r="E106" s="56" t="s">
        <v>638</v>
      </c>
      <c r="F106" s="57" t="s">
        <v>656</v>
      </c>
      <c r="G106" s="54" t="s">
        <v>657</v>
      </c>
      <c r="H106" s="54" t="s">
        <v>146</v>
      </c>
      <c r="I106" s="54"/>
      <c r="J106" s="301" t="s">
        <v>1013</v>
      </c>
      <c r="K106" s="54" t="s">
        <v>1082</v>
      </c>
      <c r="L106" s="54" t="s">
        <v>660</v>
      </c>
      <c r="M106" s="59"/>
      <c r="N106" s="59"/>
      <c r="O106" s="54" t="s">
        <v>661</v>
      </c>
      <c r="P106" s="60"/>
      <c r="Q106" s="60"/>
      <c r="R106" s="54"/>
      <c r="S106" s="54"/>
      <c r="T106" s="54"/>
      <c r="U106" s="61">
        <v>0.88500000000000001</v>
      </c>
      <c r="V106" s="167"/>
      <c r="W106" s="167"/>
      <c r="X106" s="66">
        <f t="shared" si="3"/>
        <v>0.88500000000000001</v>
      </c>
      <c r="Y106" s="219">
        <v>1523</v>
      </c>
      <c r="Z106" s="192" t="str">
        <f t="shared" si="5"/>
        <v>S</v>
      </c>
      <c r="AA106" s="172" t="s">
        <v>1396</v>
      </c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</row>
    <row r="107" spans="1:38" s="45" customFormat="1">
      <c r="A107" s="53">
        <v>197</v>
      </c>
      <c r="B107" s="73" t="s">
        <v>875</v>
      </c>
      <c r="C107" s="54">
        <v>2007</v>
      </c>
      <c r="D107" s="73" t="s">
        <v>928</v>
      </c>
      <c r="E107" s="56" t="s">
        <v>20</v>
      </c>
      <c r="F107" s="54">
        <v>2003</v>
      </c>
      <c r="G107" s="54" t="s">
        <v>326</v>
      </c>
      <c r="H107" s="54" t="s">
        <v>159</v>
      </c>
      <c r="I107" s="54"/>
      <c r="J107" s="172" t="s">
        <v>1013</v>
      </c>
      <c r="K107" s="54" t="s">
        <v>1112</v>
      </c>
      <c r="L107" s="54" t="s">
        <v>924</v>
      </c>
      <c r="M107" s="54"/>
      <c r="N107" s="54"/>
      <c r="O107" s="54" t="s">
        <v>932</v>
      </c>
      <c r="P107" s="54">
        <v>0.98</v>
      </c>
      <c r="Q107" s="54">
        <v>0.8</v>
      </c>
      <c r="R107" s="54">
        <v>0.93</v>
      </c>
      <c r="S107" s="54">
        <v>0.99</v>
      </c>
      <c r="T107" s="54">
        <v>0.85</v>
      </c>
      <c r="U107" s="54">
        <v>0.96</v>
      </c>
      <c r="V107" s="54">
        <v>1758.5</v>
      </c>
      <c r="W107" s="54">
        <v>1445</v>
      </c>
      <c r="X107" s="66">
        <f t="shared" si="3"/>
        <v>0.93</v>
      </c>
      <c r="Y107" s="72">
        <v>1677.4</v>
      </c>
      <c r="Z107" s="192" t="str">
        <f t="shared" si="5"/>
        <v>F</v>
      </c>
      <c r="AA107" s="172" t="s">
        <v>1396</v>
      </c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</row>
    <row r="108" spans="1:38" s="45" customFormat="1">
      <c r="A108" s="53">
        <v>101</v>
      </c>
      <c r="B108" s="73" t="s">
        <v>298</v>
      </c>
      <c r="C108" s="54">
        <v>1994</v>
      </c>
      <c r="D108" s="73" t="s">
        <v>299</v>
      </c>
      <c r="E108" s="56" t="s">
        <v>172</v>
      </c>
      <c r="F108" s="54">
        <v>1994</v>
      </c>
      <c r="G108" s="54" t="s">
        <v>301</v>
      </c>
      <c r="H108" s="54" t="s">
        <v>302</v>
      </c>
      <c r="I108" s="54" t="s">
        <v>1014</v>
      </c>
      <c r="J108" s="54" t="s">
        <v>1013</v>
      </c>
      <c r="K108" s="54"/>
      <c r="L108" s="54" t="s">
        <v>303</v>
      </c>
      <c r="M108" s="54"/>
      <c r="N108" s="54"/>
      <c r="O108" s="54" t="s">
        <v>310</v>
      </c>
      <c r="P108" s="54"/>
      <c r="Q108" s="54"/>
      <c r="R108" s="54"/>
      <c r="S108" s="54"/>
      <c r="T108" s="54"/>
      <c r="U108" s="54">
        <v>0.97</v>
      </c>
      <c r="V108" s="54"/>
      <c r="W108" s="54"/>
      <c r="X108" s="66">
        <f t="shared" si="3"/>
        <v>0.97</v>
      </c>
      <c r="Y108" s="72">
        <v>1771</v>
      </c>
      <c r="Z108" s="192" t="str">
        <f t="shared" si="5"/>
        <v>F</v>
      </c>
      <c r="AA108" s="172" t="s">
        <v>1396</v>
      </c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</row>
    <row r="109" spans="1:38" s="45" customFormat="1">
      <c r="A109" s="53">
        <v>101</v>
      </c>
      <c r="B109" s="73" t="s">
        <v>298</v>
      </c>
      <c r="C109" s="54">
        <v>1994</v>
      </c>
      <c r="D109" s="73" t="s">
        <v>299</v>
      </c>
      <c r="E109" s="56" t="s">
        <v>172</v>
      </c>
      <c r="F109" s="54">
        <v>1994</v>
      </c>
      <c r="G109" s="54" t="s">
        <v>301</v>
      </c>
      <c r="H109" s="54" t="s">
        <v>302</v>
      </c>
      <c r="I109" s="54" t="s">
        <v>1014</v>
      </c>
      <c r="J109" s="54" t="s">
        <v>1013</v>
      </c>
      <c r="K109" s="54"/>
      <c r="L109" s="54" t="s">
        <v>303</v>
      </c>
      <c r="M109" s="54"/>
      <c r="N109" s="54"/>
      <c r="O109" s="54" t="s">
        <v>307</v>
      </c>
      <c r="P109" s="54"/>
      <c r="Q109" s="54"/>
      <c r="R109" s="54"/>
      <c r="S109" s="54"/>
      <c r="T109" s="54"/>
      <c r="U109" s="54">
        <v>0.96</v>
      </c>
      <c r="V109" s="54"/>
      <c r="W109" s="54"/>
      <c r="X109" s="66">
        <f t="shared" si="3"/>
        <v>0.96</v>
      </c>
      <c r="Y109" s="72">
        <v>1751</v>
      </c>
      <c r="Z109" s="192" t="str">
        <f t="shared" si="5"/>
        <v>F</v>
      </c>
      <c r="AA109" s="172" t="s">
        <v>1396</v>
      </c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</row>
    <row r="110" spans="1:38" s="45" customFormat="1">
      <c r="A110" s="53">
        <v>101</v>
      </c>
      <c r="B110" s="73" t="s">
        <v>298</v>
      </c>
      <c r="C110" s="54">
        <v>1994</v>
      </c>
      <c r="D110" s="73" t="s">
        <v>299</v>
      </c>
      <c r="E110" s="56" t="s">
        <v>172</v>
      </c>
      <c r="F110" s="54">
        <v>1994</v>
      </c>
      <c r="G110" s="54" t="s">
        <v>301</v>
      </c>
      <c r="H110" s="54" t="s">
        <v>302</v>
      </c>
      <c r="I110" s="54" t="s">
        <v>1014</v>
      </c>
      <c r="J110" s="54" t="s">
        <v>1013</v>
      </c>
      <c r="K110" s="54"/>
      <c r="L110" s="54" t="s">
        <v>303</v>
      </c>
      <c r="M110" s="54"/>
      <c r="N110" s="54"/>
      <c r="O110" s="54" t="s">
        <v>305</v>
      </c>
      <c r="P110" s="54"/>
      <c r="Q110" s="54"/>
      <c r="R110" s="54"/>
      <c r="S110" s="54"/>
      <c r="T110" s="54"/>
      <c r="U110" s="54">
        <v>0.95</v>
      </c>
      <c r="V110" s="54"/>
      <c r="W110" s="54"/>
      <c r="X110" s="66">
        <f t="shared" si="3"/>
        <v>0.95</v>
      </c>
      <c r="Y110" s="72">
        <v>1731</v>
      </c>
      <c r="Z110" s="192" t="str">
        <f t="shared" si="5"/>
        <v>F</v>
      </c>
      <c r="AA110" s="172" t="s">
        <v>1396</v>
      </c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</row>
    <row r="111" spans="1:38" s="45" customFormat="1">
      <c r="A111" s="53">
        <v>101</v>
      </c>
      <c r="B111" s="73" t="s">
        <v>298</v>
      </c>
      <c r="C111" s="54">
        <v>1994</v>
      </c>
      <c r="D111" s="73" t="s">
        <v>299</v>
      </c>
      <c r="E111" s="56" t="s">
        <v>172</v>
      </c>
      <c r="F111" s="54">
        <v>1994</v>
      </c>
      <c r="G111" s="54" t="s">
        <v>301</v>
      </c>
      <c r="H111" s="54" t="s">
        <v>302</v>
      </c>
      <c r="I111" s="54" t="s">
        <v>1014</v>
      </c>
      <c r="J111" s="54" t="s">
        <v>1013</v>
      </c>
      <c r="K111" s="54"/>
      <c r="L111" s="54" t="s">
        <v>303</v>
      </c>
      <c r="M111" s="54"/>
      <c r="N111" s="54"/>
      <c r="O111" s="54" t="s">
        <v>304</v>
      </c>
      <c r="P111" s="54"/>
      <c r="Q111" s="54"/>
      <c r="R111" s="54"/>
      <c r="S111" s="54"/>
      <c r="T111" s="54"/>
      <c r="U111" s="54">
        <v>0.94</v>
      </c>
      <c r="V111" s="54"/>
      <c r="W111" s="54"/>
      <c r="X111" s="66">
        <f t="shared" si="3"/>
        <v>0.94</v>
      </c>
      <c r="Y111" s="72">
        <v>1686</v>
      </c>
      <c r="Z111" s="192" t="str">
        <f t="shared" si="5"/>
        <v>F</v>
      </c>
      <c r="AA111" s="172" t="s">
        <v>1396</v>
      </c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</row>
    <row r="112" spans="1:38" s="45" customFormat="1">
      <c r="A112" s="53">
        <v>101</v>
      </c>
      <c r="B112" s="73" t="s">
        <v>298</v>
      </c>
      <c r="C112" s="54">
        <v>1994</v>
      </c>
      <c r="D112" s="73" t="s">
        <v>299</v>
      </c>
      <c r="E112" s="56" t="s">
        <v>172</v>
      </c>
      <c r="F112" s="54">
        <v>1994</v>
      </c>
      <c r="G112" s="54" t="s">
        <v>301</v>
      </c>
      <c r="H112" s="54" t="s">
        <v>302</v>
      </c>
      <c r="I112" s="54" t="s">
        <v>1014</v>
      </c>
      <c r="J112" s="54" t="s">
        <v>1013</v>
      </c>
      <c r="K112" s="54"/>
      <c r="L112" s="54" t="s">
        <v>303</v>
      </c>
      <c r="M112" s="54"/>
      <c r="N112" s="54"/>
      <c r="O112" s="54" t="s">
        <v>308</v>
      </c>
      <c r="P112" s="54"/>
      <c r="Q112" s="54"/>
      <c r="R112" s="54"/>
      <c r="S112" s="54"/>
      <c r="T112" s="54"/>
      <c r="U112" s="54">
        <v>0.94</v>
      </c>
      <c r="V112" s="54"/>
      <c r="W112" s="54"/>
      <c r="X112" s="66">
        <f t="shared" si="3"/>
        <v>0.94</v>
      </c>
      <c r="Y112" s="72">
        <v>1706</v>
      </c>
      <c r="Z112" s="192" t="str">
        <f t="shared" si="5"/>
        <v>F</v>
      </c>
      <c r="AA112" s="172" t="s">
        <v>1396</v>
      </c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</row>
    <row r="113" spans="1:38" s="45" customFormat="1">
      <c r="A113" s="53">
        <v>101</v>
      </c>
      <c r="B113" s="73" t="s">
        <v>298</v>
      </c>
      <c r="C113" s="54">
        <v>1994</v>
      </c>
      <c r="D113" s="73" t="s">
        <v>299</v>
      </c>
      <c r="E113" s="56" t="s">
        <v>172</v>
      </c>
      <c r="F113" s="54">
        <v>1994</v>
      </c>
      <c r="G113" s="54" t="s">
        <v>301</v>
      </c>
      <c r="H113" s="54" t="s">
        <v>302</v>
      </c>
      <c r="I113" s="54" t="s">
        <v>1014</v>
      </c>
      <c r="J113" s="169" t="s">
        <v>1013</v>
      </c>
      <c r="K113" s="54"/>
      <c r="L113" s="54" t="s">
        <v>303</v>
      </c>
      <c r="M113" s="54"/>
      <c r="N113" s="54"/>
      <c r="O113" s="54" t="s">
        <v>306</v>
      </c>
      <c r="P113" s="54"/>
      <c r="Q113" s="54"/>
      <c r="R113" s="54"/>
      <c r="S113" s="54"/>
      <c r="T113" s="54"/>
      <c r="U113" s="54">
        <v>0.94</v>
      </c>
      <c r="V113" s="54"/>
      <c r="W113" s="54"/>
      <c r="X113" s="66">
        <f t="shared" si="3"/>
        <v>0.94</v>
      </c>
      <c r="Y113" s="72">
        <v>1714</v>
      </c>
      <c r="Z113" s="192" t="str">
        <f t="shared" si="5"/>
        <v>F</v>
      </c>
      <c r="AA113" s="172" t="s">
        <v>1396</v>
      </c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</row>
    <row r="114" spans="1:38" s="45" customFormat="1">
      <c r="A114" s="53">
        <v>101</v>
      </c>
      <c r="B114" s="73" t="s">
        <v>298</v>
      </c>
      <c r="C114" s="54">
        <v>1994</v>
      </c>
      <c r="D114" s="73" t="s">
        <v>299</v>
      </c>
      <c r="E114" s="56" t="s">
        <v>172</v>
      </c>
      <c r="F114" s="54">
        <v>1994</v>
      </c>
      <c r="G114" s="54" t="s">
        <v>301</v>
      </c>
      <c r="H114" s="54" t="s">
        <v>302</v>
      </c>
      <c r="I114" s="54" t="s">
        <v>1014</v>
      </c>
      <c r="J114" s="54" t="s">
        <v>1013</v>
      </c>
      <c r="K114" s="54"/>
      <c r="L114" s="54" t="s">
        <v>303</v>
      </c>
      <c r="M114" s="54"/>
      <c r="N114" s="54"/>
      <c r="O114" s="54" t="s">
        <v>309</v>
      </c>
      <c r="P114" s="54"/>
      <c r="Q114" s="54"/>
      <c r="R114" s="54"/>
      <c r="S114" s="54"/>
      <c r="T114" s="54"/>
      <c r="U114" s="54">
        <v>0.86</v>
      </c>
      <c r="V114" s="54"/>
      <c r="W114" s="54"/>
      <c r="X114" s="66">
        <f t="shared" si="3"/>
        <v>0.86</v>
      </c>
      <c r="Y114" s="72">
        <v>1561</v>
      </c>
      <c r="Z114" s="192" t="str">
        <f t="shared" si="5"/>
        <v>S</v>
      </c>
      <c r="AA114" s="172" t="s">
        <v>1396</v>
      </c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</row>
    <row r="115" spans="1:38" s="45" customFormat="1">
      <c r="A115" s="53"/>
      <c r="B115" s="290" t="s">
        <v>1276</v>
      </c>
      <c r="C115" s="291">
        <v>1989</v>
      </c>
      <c r="D115" s="66"/>
      <c r="E115" s="60" t="s">
        <v>49</v>
      </c>
      <c r="F115" s="54"/>
      <c r="G115" s="54"/>
      <c r="H115" s="54"/>
      <c r="I115" s="54"/>
      <c r="J115" s="257" t="s">
        <v>1013</v>
      </c>
      <c r="K115" s="257" t="s">
        <v>1002</v>
      </c>
      <c r="L115" s="54"/>
      <c r="M115" s="54"/>
      <c r="N115" s="54"/>
      <c r="O115" s="45" t="s">
        <v>1233</v>
      </c>
      <c r="P115" s="54"/>
      <c r="Q115" s="54"/>
      <c r="R115" s="45">
        <v>0.97199999999999998</v>
      </c>
      <c r="S115" s="54"/>
      <c r="T115" s="54"/>
      <c r="U115" s="54"/>
      <c r="V115" s="54"/>
      <c r="W115" s="54"/>
      <c r="X115" s="66">
        <f t="shared" si="3"/>
        <v>0.97199999999999998</v>
      </c>
      <c r="Y115" s="45">
        <v>1781</v>
      </c>
      <c r="Z115" s="192" t="str">
        <f t="shared" si="5"/>
        <v>F</v>
      </c>
      <c r="AA115" s="172" t="s">
        <v>1397</v>
      </c>
      <c r="AB115" s="257" t="s">
        <v>1391</v>
      </c>
      <c r="AC115" s="172">
        <f>AVERAGE($Y$115:$Y$144)</f>
        <v>1540.4666666666667</v>
      </c>
      <c r="AD115" s="172">
        <f>MEDIAN($Y$115:$Y$144)</f>
        <v>1515</v>
      </c>
      <c r="AE115" s="172">
        <f>MAX($Y$115:$Y$144)</f>
        <v>1781</v>
      </c>
      <c r="AF115" s="172">
        <f>MIN($Y$115:$Y$144)</f>
        <v>1180</v>
      </c>
      <c r="AG115" s="172">
        <f>STDEV($Y$115:$Y$144)</f>
        <v>141.99604980744903</v>
      </c>
      <c r="AH115" s="172">
        <f>COUNT($Y$115:$Y$144)</f>
        <v>30</v>
      </c>
      <c r="AI115" s="172"/>
      <c r="AJ115" s="172"/>
      <c r="AK115" s="172"/>
      <c r="AL115" s="172"/>
    </row>
    <row r="116" spans="1:38" s="45" customFormat="1">
      <c r="A116" s="53"/>
      <c r="B116" s="290" t="s">
        <v>1276</v>
      </c>
      <c r="C116" s="291">
        <v>1989</v>
      </c>
      <c r="D116" s="66"/>
      <c r="E116" s="60" t="s">
        <v>49</v>
      </c>
      <c r="F116" s="54"/>
      <c r="G116" s="54"/>
      <c r="H116" s="54"/>
      <c r="I116" s="54"/>
      <c r="J116" s="257" t="s">
        <v>1013</v>
      </c>
      <c r="K116" s="257" t="s">
        <v>1002</v>
      </c>
      <c r="L116" s="54"/>
      <c r="M116" s="54"/>
      <c r="N116" s="54"/>
      <c r="O116" s="45" t="s">
        <v>1232</v>
      </c>
      <c r="P116" s="54"/>
      <c r="Q116" s="54"/>
      <c r="R116" s="45">
        <v>0.94899999999999995</v>
      </c>
      <c r="S116" s="54"/>
      <c r="T116" s="54"/>
      <c r="U116" s="54"/>
      <c r="V116" s="54"/>
      <c r="W116" s="54"/>
      <c r="X116" s="66">
        <f t="shared" si="3"/>
        <v>0.94899999999999995</v>
      </c>
      <c r="Y116" s="45">
        <v>1739</v>
      </c>
      <c r="Z116" s="192" t="str">
        <f t="shared" si="5"/>
        <v>F</v>
      </c>
      <c r="AA116" s="172" t="s">
        <v>1397</v>
      </c>
      <c r="AB116" s="257" t="s">
        <v>1277</v>
      </c>
      <c r="AC116" s="172">
        <f>AVERAGE($Y$115:$Y$122)</f>
        <v>1718.375</v>
      </c>
      <c r="AD116" s="172">
        <f>MEDIAN($Y$115:$Y$122)</f>
        <v>1716</v>
      </c>
      <c r="AE116" s="172">
        <f>MAX($Y$115:$Y$122)</f>
        <v>1781</v>
      </c>
      <c r="AF116" s="172">
        <f>MIN($Y$115:$Y$122)</f>
        <v>1659</v>
      </c>
      <c r="AG116" s="172">
        <f>STDEV($Y$115:$Y$122)</f>
        <v>34.058510578960188</v>
      </c>
      <c r="AH116" s="172">
        <f>COUNT($Y$115:$Y$122)</f>
        <v>8</v>
      </c>
      <c r="AI116" s="172"/>
      <c r="AJ116" s="172"/>
      <c r="AK116" s="172"/>
      <c r="AL116" s="172"/>
    </row>
    <row r="117" spans="1:38" s="45" customFormat="1">
      <c r="A117" s="53"/>
      <c r="B117" s="290" t="s">
        <v>1276</v>
      </c>
      <c r="C117" s="291">
        <v>1989</v>
      </c>
      <c r="D117" s="66"/>
      <c r="E117" s="60" t="s">
        <v>49</v>
      </c>
      <c r="F117" s="54"/>
      <c r="G117" s="54"/>
      <c r="H117" s="54"/>
      <c r="I117" s="54"/>
      <c r="J117" s="257" t="s">
        <v>1013</v>
      </c>
      <c r="K117" s="257" t="s">
        <v>1002</v>
      </c>
      <c r="L117" s="54"/>
      <c r="M117" s="54"/>
      <c r="N117" s="54"/>
      <c r="O117" s="45" t="s">
        <v>1230</v>
      </c>
      <c r="P117" s="54"/>
      <c r="Q117" s="54"/>
      <c r="R117" s="45">
        <v>0.94</v>
      </c>
      <c r="S117" s="54"/>
      <c r="T117" s="54"/>
      <c r="U117" s="54"/>
      <c r="V117" s="54"/>
      <c r="W117" s="54"/>
      <c r="X117" s="66">
        <f t="shared" si="3"/>
        <v>0.94</v>
      </c>
      <c r="Y117" s="45">
        <v>1720</v>
      </c>
      <c r="Z117" s="192" t="str">
        <f t="shared" si="5"/>
        <v>F</v>
      </c>
      <c r="AA117" s="172" t="s">
        <v>1397</v>
      </c>
      <c r="AB117" s="257" t="s">
        <v>1278</v>
      </c>
      <c r="AC117" s="172">
        <f>AVERAGE($Y$123:$Y$135)</f>
        <v>1539.1538461538462</v>
      </c>
      <c r="AD117" s="172">
        <f>MEDIAN($Y$123:$Y$135)</f>
        <v>1522</v>
      </c>
      <c r="AE117" s="172">
        <f>MAX($Y$123:$Y$135)</f>
        <v>1635</v>
      </c>
      <c r="AF117" s="172">
        <f>MIN($Y$123:$Y$135)</f>
        <v>1469</v>
      </c>
      <c r="AG117" s="172">
        <f>STDEV($Y$123:$Y$135)</f>
        <v>59.013905358322333</v>
      </c>
      <c r="AH117" s="172">
        <f>COUNT($Y$123:$Y$135)</f>
        <v>13</v>
      </c>
      <c r="AI117" s="172"/>
      <c r="AJ117" s="172"/>
      <c r="AK117" s="172"/>
      <c r="AL117" s="172"/>
    </row>
    <row r="118" spans="1:38" s="45" customFormat="1">
      <c r="A118" s="53"/>
      <c r="B118" s="290" t="s">
        <v>1276</v>
      </c>
      <c r="C118" s="291">
        <v>1989</v>
      </c>
      <c r="D118" s="66"/>
      <c r="E118" s="60" t="s">
        <v>49</v>
      </c>
      <c r="F118" s="54"/>
      <c r="G118" s="54"/>
      <c r="H118" s="54"/>
      <c r="I118" s="54"/>
      <c r="J118" s="257" t="s">
        <v>1013</v>
      </c>
      <c r="K118" s="257" t="s">
        <v>1002</v>
      </c>
      <c r="L118" s="54"/>
      <c r="M118" s="54"/>
      <c r="N118" s="54"/>
      <c r="O118" s="45" t="s">
        <v>1234</v>
      </c>
      <c r="P118" s="54"/>
      <c r="Q118" s="54"/>
      <c r="R118" s="45">
        <v>0.93600000000000005</v>
      </c>
      <c r="S118" s="54"/>
      <c r="T118" s="54"/>
      <c r="U118" s="54"/>
      <c r="V118" s="54"/>
      <c r="W118" s="54"/>
      <c r="X118" s="66">
        <f t="shared" si="3"/>
        <v>0.93600000000000005</v>
      </c>
      <c r="Y118" s="45">
        <v>1716</v>
      </c>
      <c r="Z118" s="192" t="str">
        <f t="shared" si="5"/>
        <v>F</v>
      </c>
      <c r="AA118" s="172" t="s">
        <v>1397</v>
      </c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</row>
    <row r="119" spans="1:38" s="45" customFormat="1">
      <c r="A119" s="53"/>
      <c r="B119" s="290" t="s">
        <v>1276</v>
      </c>
      <c r="C119" s="291">
        <v>1989</v>
      </c>
      <c r="D119" s="66"/>
      <c r="E119" s="60" t="s">
        <v>49</v>
      </c>
      <c r="F119" s="54"/>
      <c r="G119" s="54"/>
      <c r="H119" s="54"/>
      <c r="I119" s="54"/>
      <c r="J119" s="257" t="s">
        <v>1013</v>
      </c>
      <c r="K119" s="257" t="s">
        <v>1002</v>
      </c>
      <c r="L119" s="54"/>
      <c r="M119" s="54"/>
      <c r="N119" s="54"/>
      <c r="O119" s="45" t="s">
        <v>1254</v>
      </c>
      <c r="P119" s="54"/>
      <c r="Q119" s="54"/>
      <c r="R119" s="45">
        <v>0.93500000000000005</v>
      </c>
      <c r="S119" s="54"/>
      <c r="T119" s="54"/>
      <c r="U119" s="54"/>
      <c r="V119" s="54"/>
      <c r="W119" s="54"/>
      <c r="X119" s="66">
        <f t="shared" si="3"/>
        <v>0.93500000000000005</v>
      </c>
      <c r="Y119" s="45">
        <v>1716</v>
      </c>
      <c r="Z119" s="192" t="str">
        <f t="shared" si="5"/>
        <v>F</v>
      </c>
      <c r="AA119" s="172" t="s">
        <v>1397</v>
      </c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</row>
    <row r="120" spans="1:38" s="45" customFormat="1">
      <c r="A120" s="53"/>
      <c r="B120" s="290" t="s">
        <v>1276</v>
      </c>
      <c r="C120" s="291">
        <v>1989</v>
      </c>
      <c r="D120" s="66"/>
      <c r="E120" s="60" t="s">
        <v>49</v>
      </c>
      <c r="F120" s="54"/>
      <c r="G120" s="54"/>
      <c r="H120" s="54"/>
      <c r="I120" s="54"/>
      <c r="J120" s="257" t="s">
        <v>1013</v>
      </c>
      <c r="K120" s="257" t="s">
        <v>1002</v>
      </c>
      <c r="L120" s="54"/>
      <c r="M120" s="54"/>
      <c r="N120" s="54"/>
      <c r="O120" s="45" t="s">
        <v>1235</v>
      </c>
      <c r="P120" s="54"/>
      <c r="Q120" s="54"/>
      <c r="R120" s="45">
        <v>0.93300000000000005</v>
      </c>
      <c r="S120" s="54"/>
      <c r="T120" s="54"/>
      <c r="U120" s="54"/>
      <c r="V120" s="54"/>
      <c r="W120" s="54"/>
      <c r="X120" s="66">
        <f t="shared" si="3"/>
        <v>0.93300000000000005</v>
      </c>
      <c r="Y120" s="45">
        <v>1711</v>
      </c>
      <c r="Z120" s="192" t="str">
        <f t="shared" si="5"/>
        <v>F</v>
      </c>
      <c r="AA120" s="172" t="s">
        <v>1397</v>
      </c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</row>
    <row r="121" spans="1:38" s="45" customFormat="1">
      <c r="A121" s="53"/>
      <c r="B121" s="290" t="s">
        <v>1276</v>
      </c>
      <c r="C121" s="291">
        <v>1989</v>
      </c>
      <c r="D121" s="66"/>
      <c r="E121" s="60" t="s">
        <v>49</v>
      </c>
      <c r="F121" s="54"/>
      <c r="G121" s="54"/>
      <c r="H121" s="54"/>
      <c r="I121" s="54"/>
      <c r="J121" s="257" t="s">
        <v>1013</v>
      </c>
      <c r="K121" s="257" t="s">
        <v>1002</v>
      </c>
      <c r="L121" s="54"/>
      <c r="M121" s="54"/>
      <c r="N121" s="54"/>
      <c r="O121" s="45" t="s">
        <v>1231</v>
      </c>
      <c r="P121" s="54"/>
      <c r="Q121" s="54"/>
      <c r="R121" s="45">
        <v>0.93</v>
      </c>
      <c r="S121" s="54"/>
      <c r="T121" s="54"/>
      <c r="U121" s="54"/>
      <c r="V121" s="54"/>
      <c r="W121" s="54"/>
      <c r="X121" s="66">
        <f t="shared" si="3"/>
        <v>0.93</v>
      </c>
      <c r="Y121" s="45">
        <v>1705</v>
      </c>
      <c r="Z121" s="192" t="str">
        <f t="shared" si="5"/>
        <v>F</v>
      </c>
      <c r="AA121" s="172" t="s">
        <v>1397</v>
      </c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</row>
    <row r="122" spans="1:38" s="45" customFormat="1">
      <c r="A122" s="53"/>
      <c r="B122" s="290" t="s">
        <v>1276</v>
      </c>
      <c r="C122" s="291">
        <v>1989</v>
      </c>
      <c r="D122" s="66"/>
      <c r="E122" s="60" t="s">
        <v>49</v>
      </c>
      <c r="F122" s="54"/>
      <c r="G122" s="54"/>
      <c r="H122" s="54"/>
      <c r="I122" s="54"/>
      <c r="J122" s="257" t="s">
        <v>1013</v>
      </c>
      <c r="K122" s="257" t="s">
        <v>1002</v>
      </c>
      <c r="L122" s="54"/>
      <c r="M122" s="54"/>
      <c r="N122" s="54"/>
      <c r="O122" s="45" t="s">
        <v>1229</v>
      </c>
      <c r="P122" s="54"/>
      <c r="Q122" s="54"/>
      <c r="R122" s="45">
        <v>0.9</v>
      </c>
      <c r="S122" s="54"/>
      <c r="T122" s="54"/>
      <c r="U122" s="54"/>
      <c r="V122" s="54"/>
      <c r="W122" s="54"/>
      <c r="X122" s="66">
        <f t="shared" si="3"/>
        <v>0.9</v>
      </c>
      <c r="Y122" s="45">
        <v>1659</v>
      </c>
      <c r="Z122" s="192" t="str">
        <f t="shared" si="5"/>
        <v>F</v>
      </c>
      <c r="AA122" s="172" t="s">
        <v>1397</v>
      </c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</row>
    <row r="123" spans="1:38" s="45" customFormat="1">
      <c r="A123" s="53"/>
      <c r="B123" s="290" t="s">
        <v>1276</v>
      </c>
      <c r="C123" s="291">
        <v>1989</v>
      </c>
      <c r="D123" s="66"/>
      <c r="E123" s="60" t="s">
        <v>49</v>
      </c>
      <c r="F123" s="54"/>
      <c r="G123" s="54"/>
      <c r="H123" s="54"/>
      <c r="I123" s="54"/>
      <c r="J123" s="257" t="s">
        <v>1013</v>
      </c>
      <c r="K123" s="257" t="s">
        <v>1002</v>
      </c>
      <c r="L123" s="54"/>
      <c r="M123" s="54"/>
      <c r="N123" s="54"/>
      <c r="O123" s="45" t="s">
        <v>1226</v>
      </c>
      <c r="P123" s="54"/>
      <c r="Q123" s="54"/>
      <c r="R123" s="45">
        <v>0.89</v>
      </c>
      <c r="S123" s="54"/>
      <c r="T123" s="54"/>
      <c r="U123" s="54"/>
      <c r="V123" s="54"/>
      <c r="W123" s="54"/>
      <c r="X123" s="66">
        <f t="shared" si="3"/>
        <v>0.89</v>
      </c>
      <c r="Y123" s="45">
        <v>1625</v>
      </c>
      <c r="Z123" s="192" t="str">
        <f t="shared" si="5"/>
        <v>S</v>
      </c>
      <c r="AA123" s="172" t="s">
        <v>1397</v>
      </c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</row>
    <row r="124" spans="1:38" s="45" customFormat="1">
      <c r="A124" s="53"/>
      <c r="B124" s="290" t="s">
        <v>1276</v>
      </c>
      <c r="C124" s="291">
        <v>1989</v>
      </c>
      <c r="D124" s="66"/>
      <c r="E124" s="60" t="s">
        <v>49</v>
      </c>
      <c r="F124" s="54"/>
      <c r="G124" s="54"/>
      <c r="H124" s="54"/>
      <c r="I124" s="54"/>
      <c r="J124" s="257" t="s">
        <v>1013</v>
      </c>
      <c r="K124" s="257" t="s">
        <v>1002</v>
      </c>
      <c r="L124" s="54"/>
      <c r="M124" s="54"/>
      <c r="N124" s="54"/>
      <c r="O124" s="45" t="s">
        <v>1228</v>
      </c>
      <c r="P124" s="54"/>
      <c r="Q124" s="54"/>
      <c r="R124" s="45">
        <v>0.89</v>
      </c>
      <c r="S124" s="54"/>
      <c r="T124" s="54"/>
      <c r="U124" s="54"/>
      <c r="V124" s="54"/>
      <c r="W124" s="54"/>
      <c r="X124" s="66">
        <f t="shared" si="3"/>
        <v>0.89</v>
      </c>
      <c r="Y124" s="45">
        <v>1635</v>
      </c>
      <c r="Z124" s="192" t="str">
        <f t="shared" si="5"/>
        <v>S</v>
      </c>
      <c r="AA124" s="172" t="s">
        <v>1397</v>
      </c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</row>
    <row r="125" spans="1:38" s="45" customFormat="1">
      <c r="A125" s="53"/>
      <c r="B125" s="290" t="s">
        <v>1276</v>
      </c>
      <c r="C125" s="291">
        <v>1989</v>
      </c>
      <c r="D125" s="66"/>
      <c r="E125" s="60" t="s">
        <v>49</v>
      </c>
      <c r="F125" s="54"/>
      <c r="G125" s="54"/>
      <c r="H125" s="54"/>
      <c r="I125" s="54"/>
      <c r="J125" s="257" t="s">
        <v>1013</v>
      </c>
      <c r="K125" s="257" t="s">
        <v>1002</v>
      </c>
      <c r="L125" s="54"/>
      <c r="M125" s="54"/>
      <c r="N125" s="54"/>
      <c r="O125" s="45" t="s">
        <v>1227</v>
      </c>
      <c r="P125" s="54"/>
      <c r="Q125" s="54"/>
      <c r="R125" s="45">
        <v>0.88</v>
      </c>
      <c r="S125" s="54"/>
      <c r="T125" s="54"/>
      <c r="U125" s="54"/>
      <c r="V125" s="54"/>
      <c r="W125" s="54"/>
      <c r="X125" s="66">
        <f t="shared" si="3"/>
        <v>0.88</v>
      </c>
      <c r="Y125" s="45">
        <v>1632</v>
      </c>
      <c r="Z125" s="192" t="str">
        <f t="shared" si="5"/>
        <v>S</v>
      </c>
      <c r="AA125" s="172" t="s">
        <v>1397</v>
      </c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</row>
    <row r="126" spans="1:38" s="45" customFormat="1">
      <c r="A126" s="53"/>
      <c r="B126" s="290" t="s">
        <v>1276</v>
      </c>
      <c r="C126" s="291">
        <v>1989</v>
      </c>
      <c r="D126" s="66"/>
      <c r="E126" s="60" t="s">
        <v>49</v>
      </c>
      <c r="F126" s="54"/>
      <c r="G126" s="54"/>
      <c r="H126" s="54"/>
      <c r="I126" s="54"/>
      <c r="J126" s="257" t="s">
        <v>1013</v>
      </c>
      <c r="K126" s="257" t="s">
        <v>1002</v>
      </c>
      <c r="L126" s="54"/>
      <c r="M126" s="54"/>
      <c r="N126" s="54"/>
      <c r="O126" s="45" t="s">
        <v>1250</v>
      </c>
      <c r="P126" s="54"/>
      <c r="Q126" s="54"/>
      <c r="R126" s="45">
        <v>0.85</v>
      </c>
      <c r="S126" s="54"/>
      <c r="T126" s="54"/>
      <c r="U126" s="54"/>
      <c r="V126" s="54"/>
      <c r="W126" s="54"/>
      <c r="X126" s="66">
        <f t="shared" si="3"/>
        <v>0.85</v>
      </c>
      <c r="Y126" s="45">
        <v>1560</v>
      </c>
      <c r="Z126" s="192" t="str">
        <f t="shared" si="5"/>
        <v>S</v>
      </c>
      <c r="AA126" s="172" t="s">
        <v>1397</v>
      </c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</row>
    <row r="127" spans="1:38" s="45" customFormat="1">
      <c r="A127" s="53"/>
      <c r="B127" s="290" t="s">
        <v>1276</v>
      </c>
      <c r="C127" s="291">
        <v>1989</v>
      </c>
      <c r="D127" s="66"/>
      <c r="E127" s="60" t="s">
        <v>49</v>
      </c>
      <c r="F127" s="54"/>
      <c r="G127" s="54"/>
      <c r="H127" s="54"/>
      <c r="I127" s="54"/>
      <c r="J127" s="257" t="s">
        <v>1013</v>
      </c>
      <c r="K127" s="257" t="s">
        <v>1002</v>
      </c>
      <c r="L127" s="54"/>
      <c r="M127" s="54"/>
      <c r="N127" s="54"/>
      <c r="O127" s="45" t="s">
        <v>1255</v>
      </c>
      <c r="P127" s="54"/>
      <c r="Q127" s="54"/>
      <c r="R127" s="45">
        <v>0.84599999999999997</v>
      </c>
      <c r="S127" s="54"/>
      <c r="T127" s="54"/>
      <c r="U127" s="54"/>
      <c r="V127" s="54"/>
      <c r="W127" s="54"/>
      <c r="X127" s="66">
        <f t="shared" si="3"/>
        <v>0.84599999999999997</v>
      </c>
      <c r="Y127" s="45">
        <v>1553</v>
      </c>
      <c r="Z127" s="192" t="str">
        <f t="shared" si="5"/>
        <v>S</v>
      </c>
      <c r="AA127" s="172" t="s">
        <v>1397</v>
      </c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</row>
    <row r="128" spans="1:38" s="45" customFormat="1">
      <c r="A128" s="53"/>
      <c r="B128" s="290" t="s">
        <v>1276</v>
      </c>
      <c r="C128" s="291">
        <v>1989</v>
      </c>
      <c r="D128" s="66"/>
      <c r="E128" s="60" t="s">
        <v>49</v>
      </c>
      <c r="F128" s="54"/>
      <c r="G128" s="54"/>
      <c r="H128" s="54"/>
      <c r="I128" s="54"/>
      <c r="J128" s="257" t="s">
        <v>1013</v>
      </c>
      <c r="K128" s="257" t="s">
        <v>1002</v>
      </c>
      <c r="L128" s="54"/>
      <c r="M128" s="54"/>
      <c r="N128" s="54"/>
      <c r="O128" s="45" t="s">
        <v>1252</v>
      </c>
      <c r="P128" s="54"/>
      <c r="Q128" s="54"/>
      <c r="R128" s="45">
        <v>0.84099999999999997</v>
      </c>
      <c r="S128" s="54"/>
      <c r="T128" s="54"/>
      <c r="U128" s="54"/>
      <c r="V128" s="54"/>
      <c r="W128" s="54"/>
      <c r="X128" s="66">
        <f t="shared" si="3"/>
        <v>0.84099999999999997</v>
      </c>
      <c r="Y128" s="45">
        <v>1544</v>
      </c>
      <c r="Z128" s="192" t="str">
        <f t="shared" si="5"/>
        <v>S</v>
      </c>
      <c r="AA128" s="172" t="s">
        <v>1397</v>
      </c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</row>
    <row r="129" spans="1:38" s="45" customFormat="1">
      <c r="A129" s="53"/>
      <c r="B129" s="290" t="s">
        <v>1276</v>
      </c>
      <c r="C129" s="291">
        <v>1989</v>
      </c>
      <c r="D129" s="66"/>
      <c r="E129" s="60" t="s">
        <v>49</v>
      </c>
      <c r="F129" s="54"/>
      <c r="G129" s="54"/>
      <c r="H129" s="54"/>
      <c r="I129" s="54"/>
      <c r="J129" s="257" t="s">
        <v>1013</v>
      </c>
      <c r="K129" s="257" t="s">
        <v>1002</v>
      </c>
      <c r="L129" s="54"/>
      <c r="M129" s="54"/>
      <c r="N129" s="54"/>
      <c r="O129" s="45" t="s">
        <v>1247</v>
      </c>
      <c r="P129" s="54"/>
      <c r="Q129" s="54"/>
      <c r="R129" s="45">
        <v>0.83</v>
      </c>
      <c r="S129" s="54"/>
      <c r="T129" s="54"/>
      <c r="U129" s="54"/>
      <c r="V129" s="54"/>
      <c r="W129" s="54"/>
      <c r="X129" s="66">
        <f t="shared" si="3"/>
        <v>0.83</v>
      </c>
      <c r="Y129" s="45">
        <v>1522</v>
      </c>
      <c r="Z129" s="192" t="str">
        <f t="shared" si="5"/>
        <v>S</v>
      </c>
      <c r="AA129" s="172" t="s">
        <v>1397</v>
      </c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</row>
    <row r="130" spans="1:38" s="45" customFormat="1">
      <c r="A130" s="53"/>
      <c r="B130" s="290" t="s">
        <v>1276</v>
      </c>
      <c r="C130" s="291">
        <v>1989</v>
      </c>
      <c r="D130" s="66"/>
      <c r="E130" s="60" t="s">
        <v>49</v>
      </c>
      <c r="F130" s="54"/>
      <c r="G130" s="54"/>
      <c r="H130" s="54"/>
      <c r="I130" s="54"/>
      <c r="J130" s="257" t="s">
        <v>1013</v>
      </c>
      <c r="K130" s="257" t="s">
        <v>1002</v>
      </c>
      <c r="L130" s="54"/>
      <c r="M130" s="54"/>
      <c r="N130" s="54"/>
      <c r="O130" s="45" t="s">
        <v>1253</v>
      </c>
      <c r="P130" s="54"/>
      <c r="Q130" s="54"/>
      <c r="R130" s="45">
        <v>0.82199999999999995</v>
      </c>
      <c r="S130" s="54"/>
      <c r="T130" s="54"/>
      <c r="U130" s="54"/>
      <c r="V130" s="54"/>
      <c r="W130" s="54"/>
      <c r="X130" s="66">
        <f t="shared" ref="X130:X193" si="6">IF(R130&lt;&gt;0,IF(R130&gt;1,R130/100,R130),IF(U130&lt;&gt;0,IF(U130&gt;1,U130/100,U130),""))</f>
        <v>0.82199999999999995</v>
      </c>
      <c r="Y130" s="45">
        <v>1508</v>
      </c>
      <c r="Z130" s="192" t="str">
        <f t="shared" ref="Z130:Z162" si="7">IF(X130&lt;&gt;"",IF(X130&lt;0.9,"S","F"),"")</f>
        <v>S</v>
      </c>
      <c r="AA130" s="172" t="s">
        <v>1397</v>
      </c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</row>
    <row r="131" spans="1:38" s="45" customFormat="1">
      <c r="A131" s="53"/>
      <c r="B131" s="290" t="s">
        <v>1276</v>
      </c>
      <c r="C131" s="291">
        <v>1989</v>
      </c>
      <c r="D131" s="66"/>
      <c r="E131" s="60" t="s">
        <v>49</v>
      </c>
      <c r="F131" s="54"/>
      <c r="G131" s="54"/>
      <c r="H131" s="54"/>
      <c r="I131" s="54"/>
      <c r="J131" s="257" t="s">
        <v>1013</v>
      </c>
      <c r="K131" s="257" t="s">
        <v>1002</v>
      </c>
      <c r="L131" s="54"/>
      <c r="M131" s="54"/>
      <c r="N131" s="54"/>
      <c r="O131" s="45" t="s">
        <v>1249</v>
      </c>
      <c r="P131" s="54"/>
      <c r="Q131" s="54"/>
      <c r="R131" s="45">
        <v>0.81599999999999995</v>
      </c>
      <c r="S131" s="54"/>
      <c r="T131" s="54"/>
      <c r="U131" s="54"/>
      <c r="V131" s="54"/>
      <c r="W131" s="54"/>
      <c r="X131" s="66">
        <f t="shared" si="6"/>
        <v>0.81599999999999995</v>
      </c>
      <c r="Y131" s="45">
        <v>1497</v>
      </c>
      <c r="Z131" s="192" t="str">
        <f t="shared" si="7"/>
        <v>S</v>
      </c>
      <c r="AA131" s="172" t="s">
        <v>1397</v>
      </c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</row>
    <row r="132" spans="1:38" s="45" customFormat="1">
      <c r="A132" s="53"/>
      <c r="B132" s="290" t="s">
        <v>1276</v>
      </c>
      <c r="C132" s="291">
        <v>1989</v>
      </c>
      <c r="D132" s="66"/>
      <c r="E132" s="60" t="s">
        <v>49</v>
      </c>
      <c r="F132" s="54"/>
      <c r="G132" s="54"/>
      <c r="H132" s="54"/>
      <c r="I132" s="54"/>
      <c r="J132" s="257" t="s">
        <v>1013</v>
      </c>
      <c r="K132" s="257" t="s">
        <v>1002</v>
      </c>
      <c r="L132" s="54"/>
      <c r="M132" s="54"/>
      <c r="N132" s="54"/>
      <c r="O132" s="45" t="s">
        <v>1240</v>
      </c>
      <c r="P132" s="54"/>
      <c r="Q132" s="54"/>
      <c r="R132" s="45">
        <v>0.81399999999999995</v>
      </c>
      <c r="S132" s="54"/>
      <c r="T132" s="54"/>
      <c r="U132" s="54"/>
      <c r="V132" s="54"/>
      <c r="W132" s="54"/>
      <c r="X132" s="66">
        <f t="shared" si="6"/>
        <v>0.81399999999999995</v>
      </c>
      <c r="Y132" s="45">
        <v>1494</v>
      </c>
      <c r="Z132" s="192" t="str">
        <f t="shared" si="7"/>
        <v>S</v>
      </c>
      <c r="AA132" s="172" t="s">
        <v>1397</v>
      </c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</row>
    <row r="133" spans="1:38" s="45" customFormat="1">
      <c r="A133" s="53"/>
      <c r="B133" s="290" t="s">
        <v>1276</v>
      </c>
      <c r="C133" s="291">
        <v>1989</v>
      </c>
      <c r="D133" s="66"/>
      <c r="E133" s="60" t="s">
        <v>49</v>
      </c>
      <c r="F133" s="54"/>
      <c r="G133" s="54"/>
      <c r="H133" s="54"/>
      <c r="I133" s="54"/>
      <c r="J133" s="257" t="s">
        <v>1013</v>
      </c>
      <c r="K133" s="257" t="s">
        <v>1002</v>
      </c>
      <c r="L133" s="54"/>
      <c r="M133" s="54"/>
      <c r="N133" s="54"/>
      <c r="O133" s="45" t="s">
        <v>1248</v>
      </c>
      <c r="P133" s="54"/>
      <c r="Q133" s="54"/>
      <c r="R133" s="45">
        <v>0.81299999999999994</v>
      </c>
      <c r="S133" s="54"/>
      <c r="T133" s="54"/>
      <c r="U133" s="54"/>
      <c r="V133" s="54"/>
      <c r="W133" s="54"/>
      <c r="X133" s="66">
        <f t="shared" si="6"/>
        <v>0.81299999999999994</v>
      </c>
      <c r="Y133" s="45">
        <v>1492</v>
      </c>
      <c r="Z133" s="192" t="str">
        <f t="shared" si="7"/>
        <v>S</v>
      </c>
      <c r="AA133" s="172" t="s">
        <v>1397</v>
      </c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</row>
    <row r="134" spans="1:38" s="45" customFormat="1">
      <c r="A134" s="53"/>
      <c r="B134" s="290" t="s">
        <v>1276</v>
      </c>
      <c r="C134" s="291">
        <v>1989</v>
      </c>
      <c r="D134" s="66"/>
      <c r="E134" s="60" t="s">
        <v>49</v>
      </c>
      <c r="F134" s="54"/>
      <c r="G134" s="54"/>
      <c r="H134" s="54"/>
      <c r="I134" s="54"/>
      <c r="J134" s="257" t="s">
        <v>1013</v>
      </c>
      <c r="K134" s="257" t="s">
        <v>1002</v>
      </c>
      <c r="L134" s="54"/>
      <c r="M134" s="54"/>
      <c r="N134" s="54"/>
      <c r="O134" s="45" t="s">
        <v>1251</v>
      </c>
      <c r="P134" s="54"/>
      <c r="Q134" s="54"/>
      <c r="R134" s="45">
        <v>0.80500000000000005</v>
      </c>
      <c r="S134" s="54"/>
      <c r="T134" s="54"/>
      <c r="U134" s="54"/>
      <c r="V134" s="54"/>
      <c r="W134" s="54"/>
      <c r="X134" s="66">
        <f t="shared" si="6"/>
        <v>0.80500000000000005</v>
      </c>
      <c r="Y134" s="45">
        <v>1478</v>
      </c>
      <c r="Z134" s="192" t="str">
        <f t="shared" si="7"/>
        <v>S</v>
      </c>
      <c r="AA134" s="172" t="s">
        <v>1397</v>
      </c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</row>
    <row r="135" spans="1:38" s="45" customFormat="1">
      <c r="A135" s="53"/>
      <c r="B135" s="290" t="s">
        <v>1276</v>
      </c>
      <c r="C135" s="291">
        <v>1989</v>
      </c>
      <c r="D135" s="66"/>
      <c r="E135" s="60" t="s">
        <v>49</v>
      </c>
      <c r="F135" s="54"/>
      <c r="G135" s="54"/>
      <c r="H135" s="54"/>
      <c r="I135" s="54"/>
      <c r="J135" s="257" t="s">
        <v>1013</v>
      </c>
      <c r="K135" s="257" t="s">
        <v>1002</v>
      </c>
      <c r="L135" s="54"/>
      <c r="M135" s="54"/>
      <c r="N135" s="54"/>
      <c r="O135" s="45" t="s">
        <v>1236</v>
      </c>
      <c r="P135" s="54"/>
      <c r="Q135" s="54"/>
      <c r="R135" s="45">
        <v>0.8</v>
      </c>
      <c r="S135" s="54"/>
      <c r="T135" s="54"/>
      <c r="U135" s="54"/>
      <c r="V135" s="54"/>
      <c r="W135" s="54"/>
      <c r="X135" s="66">
        <f t="shared" si="6"/>
        <v>0.8</v>
      </c>
      <c r="Y135" s="45">
        <v>1469</v>
      </c>
      <c r="Z135" s="192" t="str">
        <f t="shared" si="7"/>
        <v>S</v>
      </c>
      <c r="AA135" s="172" t="s">
        <v>1397</v>
      </c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</row>
    <row r="136" spans="1:38" s="45" customFormat="1">
      <c r="A136" s="53"/>
      <c r="B136" s="290" t="s">
        <v>1276</v>
      </c>
      <c r="C136" s="291">
        <v>1989</v>
      </c>
      <c r="D136" s="66"/>
      <c r="E136" s="60" t="s">
        <v>49</v>
      </c>
      <c r="F136" s="54"/>
      <c r="G136" s="54"/>
      <c r="H136" s="54"/>
      <c r="I136" s="54"/>
      <c r="J136" s="257" t="s">
        <v>1013</v>
      </c>
      <c r="K136" s="257" t="s">
        <v>1002</v>
      </c>
      <c r="L136" s="54"/>
      <c r="M136" s="54"/>
      <c r="N136" s="54"/>
      <c r="O136" s="45" t="s">
        <v>1241</v>
      </c>
      <c r="P136" s="54"/>
      <c r="Q136" s="54"/>
      <c r="R136" s="45">
        <v>0.79400000000000004</v>
      </c>
      <c r="S136" s="54"/>
      <c r="T136" s="54"/>
      <c r="U136" s="54"/>
      <c r="V136" s="54"/>
      <c r="W136" s="54"/>
      <c r="X136" s="66">
        <f t="shared" si="6"/>
        <v>0.79400000000000004</v>
      </c>
      <c r="Y136" s="45">
        <v>1456</v>
      </c>
      <c r="Z136" s="192" t="str">
        <f t="shared" si="7"/>
        <v>S</v>
      </c>
      <c r="AA136" s="172" t="s">
        <v>1397</v>
      </c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</row>
    <row r="137" spans="1:38" s="45" customFormat="1">
      <c r="A137" s="53"/>
      <c r="B137" s="290" t="s">
        <v>1276</v>
      </c>
      <c r="C137" s="291">
        <v>1989</v>
      </c>
      <c r="D137" s="66"/>
      <c r="E137" s="60" t="s">
        <v>49</v>
      </c>
      <c r="F137" s="54"/>
      <c r="G137" s="54"/>
      <c r="H137" s="54"/>
      <c r="I137" s="54"/>
      <c r="J137" s="257" t="s">
        <v>1013</v>
      </c>
      <c r="K137" s="257" t="s">
        <v>1002</v>
      </c>
      <c r="L137" s="54"/>
      <c r="M137" s="54"/>
      <c r="N137" s="54"/>
      <c r="O137" s="45" t="s">
        <v>1243</v>
      </c>
      <c r="P137" s="54"/>
      <c r="Q137" s="54"/>
      <c r="R137" s="45">
        <v>0.78900000000000003</v>
      </c>
      <c r="S137" s="54"/>
      <c r="T137" s="54"/>
      <c r="U137" s="54"/>
      <c r="V137" s="54"/>
      <c r="W137" s="54"/>
      <c r="X137" s="66">
        <f t="shared" si="6"/>
        <v>0.78900000000000003</v>
      </c>
      <c r="Y137" s="45">
        <v>1448</v>
      </c>
      <c r="Z137" s="192" t="str">
        <f t="shared" si="7"/>
        <v>S</v>
      </c>
      <c r="AA137" s="172" t="s">
        <v>1397</v>
      </c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</row>
    <row r="138" spans="1:38" s="45" customFormat="1">
      <c r="A138" s="53"/>
      <c r="B138" s="290" t="s">
        <v>1276</v>
      </c>
      <c r="C138" s="291">
        <v>1989</v>
      </c>
      <c r="D138" s="66"/>
      <c r="E138" s="60" t="s">
        <v>49</v>
      </c>
      <c r="F138" s="54"/>
      <c r="G138" s="54"/>
      <c r="H138" s="54"/>
      <c r="I138" s="54"/>
      <c r="J138" s="257" t="s">
        <v>1013</v>
      </c>
      <c r="K138" s="257" t="s">
        <v>1002</v>
      </c>
      <c r="L138" s="54"/>
      <c r="M138" s="54"/>
      <c r="N138" s="54"/>
      <c r="O138" s="45" t="s">
        <v>1238</v>
      </c>
      <c r="P138" s="54"/>
      <c r="Q138" s="54"/>
      <c r="R138" s="45">
        <v>0.78400000000000003</v>
      </c>
      <c r="S138" s="54"/>
      <c r="T138" s="54"/>
      <c r="U138" s="54"/>
      <c r="V138" s="54"/>
      <c r="W138" s="54"/>
      <c r="X138" s="66">
        <f t="shared" si="6"/>
        <v>0.78400000000000003</v>
      </c>
      <c r="Y138" s="45">
        <v>1439</v>
      </c>
      <c r="Z138" s="192" t="str">
        <f t="shared" si="7"/>
        <v>S</v>
      </c>
      <c r="AA138" s="172" t="s">
        <v>1397</v>
      </c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</row>
    <row r="139" spans="1:38" s="45" customFormat="1">
      <c r="A139" s="53"/>
      <c r="B139" s="290" t="s">
        <v>1276</v>
      </c>
      <c r="C139" s="291">
        <v>1989</v>
      </c>
      <c r="D139" s="66"/>
      <c r="E139" s="60" t="s">
        <v>49</v>
      </c>
      <c r="F139" s="54"/>
      <c r="G139" s="54"/>
      <c r="H139" s="54"/>
      <c r="I139" s="54"/>
      <c r="J139" s="257" t="s">
        <v>1013</v>
      </c>
      <c r="K139" s="257" t="s">
        <v>1002</v>
      </c>
      <c r="L139" s="54"/>
      <c r="M139" s="54"/>
      <c r="N139" s="54"/>
      <c r="O139" s="45" t="s">
        <v>1244</v>
      </c>
      <c r="P139" s="54"/>
      <c r="Q139" s="54"/>
      <c r="R139" s="45">
        <v>0.77500000000000002</v>
      </c>
      <c r="S139" s="54"/>
      <c r="T139" s="54"/>
      <c r="U139" s="54"/>
      <c r="V139" s="54"/>
      <c r="W139" s="54"/>
      <c r="X139" s="66">
        <f t="shared" si="6"/>
        <v>0.77500000000000002</v>
      </c>
      <c r="Y139" s="45">
        <v>1422</v>
      </c>
      <c r="Z139" s="192" t="str">
        <f t="shared" si="7"/>
        <v>S</v>
      </c>
      <c r="AA139" s="172" t="s">
        <v>1397</v>
      </c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</row>
    <row r="140" spans="1:38" s="45" customFormat="1">
      <c r="A140" s="53"/>
      <c r="B140" s="290" t="s">
        <v>1276</v>
      </c>
      <c r="C140" s="291">
        <v>1989</v>
      </c>
      <c r="D140" s="66"/>
      <c r="E140" s="60" t="s">
        <v>49</v>
      </c>
      <c r="F140" s="54"/>
      <c r="G140" s="54"/>
      <c r="H140" s="54"/>
      <c r="I140" s="54"/>
      <c r="J140" s="257" t="s">
        <v>1013</v>
      </c>
      <c r="K140" s="257" t="s">
        <v>1002</v>
      </c>
      <c r="L140" s="54"/>
      <c r="M140" s="54"/>
      <c r="N140" s="54"/>
      <c r="O140" s="45" t="s">
        <v>1242</v>
      </c>
      <c r="P140" s="54"/>
      <c r="Q140" s="54"/>
      <c r="R140" s="45">
        <v>0.77500000000000002</v>
      </c>
      <c r="S140" s="54"/>
      <c r="T140" s="54"/>
      <c r="U140" s="54"/>
      <c r="V140" s="54"/>
      <c r="W140" s="54"/>
      <c r="X140" s="66">
        <f t="shared" si="6"/>
        <v>0.77500000000000002</v>
      </c>
      <c r="Y140" s="45">
        <v>1423</v>
      </c>
      <c r="Z140" s="192" t="str">
        <f t="shared" si="7"/>
        <v>S</v>
      </c>
      <c r="AA140" s="172" t="s">
        <v>1397</v>
      </c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</row>
    <row r="141" spans="1:38" s="45" customFormat="1">
      <c r="A141" s="53"/>
      <c r="B141" s="290" t="s">
        <v>1276</v>
      </c>
      <c r="C141" s="291">
        <v>1989</v>
      </c>
      <c r="D141" s="66"/>
      <c r="E141" s="60" t="s">
        <v>49</v>
      </c>
      <c r="F141" s="54"/>
      <c r="G141" s="54"/>
      <c r="H141" s="54"/>
      <c r="I141" s="54"/>
      <c r="J141" s="257" t="s">
        <v>1013</v>
      </c>
      <c r="K141" s="257" t="s">
        <v>1002</v>
      </c>
      <c r="L141" s="54"/>
      <c r="M141" s="54"/>
      <c r="N141" s="54"/>
      <c r="O141" s="45" t="s">
        <v>1237</v>
      </c>
      <c r="P141" s="54"/>
      <c r="Q141" s="54"/>
      <c r="R141" s="45">
        <v>0.77</v>
      </c>
      <c r="S141" s="54"/>
      <c r="T141" s="54"/>
      <c r="U141" s="54"/>
      <c r="V141" s="54"/>
      <c r="W141" s="54"/>
      <c r="X141" s="66">
        <f t="shared" si="6"/>
        <v>0.77</v>
      </c>
      <c r="Y141" s="45">
        <v>1413</v>
      </c>
      <c r="Z141" s="192" t="str">
        <f t="shared" si="7"/>
        <v>S</v>
      </c>
      <c r="AA141" s="172" t="s">
        <v>1397</v>
      </c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</row>
    <row r="142" spans="1:38" s="45" customFormat="1">
      <c r="A142" s="53"/>
      <c r="B142" s="290" t="s">
        <v>1276</v>
      </c>
      <c r="C142" s="291">
        <v>1989</v>
      </c>
      <c r="D142" s="66"/>
      <c r="E142" s="60" t="s">
        <v>49</v>
      </c>
      <c r="F142" s="54"/>
      <c r="G142" s="54"/>
      <c r="H142" s="54"/>
      <c r="I142" s="54"/>
      <c r="J142" s="257" t="s">
        <v>1013</v>
      </c>
      <c r="K142" s="257" t="s">
        <v>1002</v>
      </c>
      <c r="L142" s="54"/>
      <c r="M142" s="54"/>
      <c r="N142" s="54"/>
      <c r="O142" s="45" t="s">
        <v>1245</v>
      </c>
      <c r="P142" s="54"/>
      <c r="Q142" s="54"/>
      <c r="R142" s="45">
        <v>0.73</v>
      </c>
      <c r="S142" s="54"/>
      <c r="T142" s="54"/>
      <c r="U142" s="54"/>
      <c r="V142" s="54"/>
      <c r="W142" s="54"/>
      <c r="X142" s="66">
        <f t="shared" si="6"/>
        <v>0.73</v>
      </c>
      <c r="Y142" s="45">
        <v>1339</v>
      </c>
      <c r="Z142" s="192" t="str">
        <f t="shared" si="7"/>
        <v>S</v>
      </c>
      <c r="AA142" s="172" t="s">
        <v>1397</v>
      </c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</row>
    <row r="143" spans="1:38" s="45" customFormat="1">
      <c r="A143" s="53"/>
      <c r="B143" s="290" t="s">
        <v>1276</v>
      </c>
      <c r="C143" s="291">
        <v>1989</v>
      </c>
      <c r="D143" s="66"/>
      <c r="E143" s="60" t="s">
        <v>49</v>
      </c>
      <c r="F143" s="54"/>
      <c r="G143" s="54"/>
      <c r="H143" s="54"/>
      <c r="I143" s="54"/>
      <c r="J143" s="257" t="s">
        <v>1013</v>
      </c>
      <c r="K143" s="257" t="s">
        <v>1002</v>
      </c>
      <c r="L143" s="54"/>
      <c r="M143" s="54"/>
      <c r="N143" s="54"/>
      <c r="O143" s="45" t="s">
        <v>1246</v>
      </c>
      <c r="P143" s="54"/>
      <c r="Q143" s="54"/>
      <c r="R143" s="45">
        <v>0.72899999999999998</v>
      </c>
      <c r="S143" s="54"/>
      <c r="T143" s="54"/>
      <c r="U143" s="54"/>
      <c r="V143" s="54"/>
      <c r="W143" s="54"/>
      <c r="X143" s="66">
        <f t="shared" si="6"/>
        <v>0.72899999999999998</v>
      </c>
      <c r="Y143" s="45">
        <v>1338</v>
      </c>
      <c r="Z143" s="192" t="str">
        <f t="shared" si="7"/>
        <v>S</v>
      </c>
      <c r="AA143" s="172" t="s">
        <v>1397</v>
      </c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</row>
    <row r="144" spans="1:38" s="45" customFormat="1">
      <c r="A144" s="53"/>
      <c r="B144" s="290" t="s">
        <v>1276</v>
      </c>
      <c r="C144" s="291">
        <v>1989</v>
      </c>
      <c r="D144" s="66"/>
      <c r="E144" s="60" t="s">
        <v>49</v>
      </c>
      <c r="F144" s="54"/>
      <c r="G144" s="54"/>
      <c r="H144" s="54"/>
      <c r="I144" s="54"/>
      <c r="J144" s="257" t="s">
        <v>1013</v>
      </c>
      <c r="K144" s="257" t="s">
        <v>1002</v>
      </c>
      <c r="L144" s="54"/>
      <c r="M144" s="54"/>
      <c r="N144" s="54"/>
      <c r="O144" s="45" t="s">
        <v>1239</v>
      </c>
      <c r="P144" s="54"/>
      <c r="Q144" s="54"/>
      <c r="R144" s="45">
        <v>0.64300000000000002</v>
      </c>
      <c r="S144" s="54"/>
      <c r="T144" s="54"/>
      <c r="U144" s="54"/>
      <c r="V144" s="54"/>
      <c r="W144" s="54"/>
      <c r="X144" s="66">
        <f t="shared" si="6"/>
        <v>0.64300000000000002</v>
      </c>
      <c r="Y144" s="45">
        <v>1180</v>
      </c>
      <c r="Z144" s="192" t="str">
        <f t="shared" si="7"/>
        <v>S</v>
      </c>
      <c r="AA144" s="172" t="s">
        <v>1397</v>
      </c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</row>
    <row r="145" spans="1:38" s="45" customFormat="1">
      <c r="A145" s="53"/>
      <c r="B145" s="290" t="s">
        <v>1276</v>
      </c>
      <c r="C145" s="291">
        <v>1989</v>
      </c>
      <c r="D145" s="66"/>
      <c r="E145" s="60" t="s">
        <v>49</v>
      </c>
      <c r="F145" s="54"/>
      <c r="G145" s="54"/>
      <c r="H145" s="54"/>
      <c r="I145" s="54"/>
      <c r="J145" s="257" t="s">
        <v>1013</v>
      </c>
      <c r="K145" s="257" t="s">
        <v>1257</v>
      </c>
      <c r="L145" s="54"/>
      <c r="M145" s="54"/>
      <c r="N145" s="54"/>
      <c r="O145" s="45" t="s">
        <v>1260</v>
      </c>
      <c r="P145" s="54"/>
      <c r="Q145" s="54"/>
      <c r="R145" s="45">
        <v>0.94099999999999995</v>
      </c>
      <c r="S145" s="54"/>
      <c r="T145" s="54"/>
      <c r="U145" s="54"/>
      <c r="V145" s="54"/>
      <c r="W145" s="54"/>
      <c r="X145" s="66">
        <f t="shared" si="6"/>
        <v>0.94099999999999995</v>
      </c>
      <c r="Y145" s="45">
        <v>1727</v>
      </c>
      <c r="Z145" s="192" t="str">
        <f t="shared" si="7"/>
        <v>F</v>
      </c>
      <c r="AA145" s="172" t="s">
        <v>1397</v>
      </c>
      <c r="AB145" s="257" t="s">
        <v>1392</v>
      </c>
      <c r="AC145" s="172">
        <f>AVERAGE($Y$145:$Y$153)</f>
        <v>1595.5555555555557</v>
      </c>
      <c r="AD145" s="172">
        <f>MEDIAN($Y$145:$Y$153)</f>
        <v>1618</v>
      </c>
      <c r="AE145" s="172">
        <f>MAX($Y$145:$Y$153)</f>
        <v>1727</v>
      </c>
      <c r="AF145" s="172">
        <f>MIN($Y$145:$Y$153)</f>
        <v>1386</v>
      </c>
      <c r="AG145" s="172">
        <f>STDEV($Y$145:$Y$153)</f>
        <v>106.42616115306319</v>
      </c>
      <c r="AH145" s="172">
        <f>COUNT($Y$145:$Y$153)</f>
        <v>9</v>
      </c>
      <c r="AI145" s="172"/>
      <c r="AJ145" s="172"/>
      <c r="AK145" s="172"/>
      <c r="AL145" s="172"/>
    </row>
    <row r="146" spans="1:38" s="45" customFormat="1">
      <c r="A146" s="53"/>
      <c r="B146" s="290" t="s">
        <v>1276</v>
      </c>
      <c r="C146" s="291">
        <v>1989</v>
      </c>
      <c r="D146" s="66"/>
      <c r="E146" s="60" t="s">
        <v>49</v>
      </c>
      <c r="F146" s="54"/>
      <c r="G146" s="54"/>
      <c r="H146" s="54"/>
      <c r="I146" s="54"/>
      <c r="J146" s="257" t="s">
        <v>1013</v>
      </c>
      <c r="K146" s="257" t="s">
        <v>1257</v>
      </c>
      <c r="L146" s="54"/>
      <c r="M146" s="54"/>
      <c r="N146" s="54"/>
      <c r="O146" s="45" t="s">
        <v>1259</v>
      </c>
      <c r="P146" s="54"/>
      <c r="Q146" s="54"/>
      <c r="R146" s="45">
        <v>0.92500000000000004</v>
      </c>
      <c r="S146" s="54"/>
      <c r="T146" s="54"/>
      <c r="U146" s="54"/>
      <c r="V146" s="54"/>
      <c r="W146" s="54"/>
      <c r="X146" s="66">
        <f t="shared" si="6"/>
        <v>0.92500000000000004</v>
      </c>
      <c r="Y146" s="45">
        <v>1697</v>
      </c>
      <c r="Z146" s="192" t="str">
        <f t="shared" si="7"/>
        <v>F</v>
      </c>
      <c r="AA146" s="172" t="s">
        <v>1397</v>
      </c>
      <c r="AB146" s="257" t="s">
        <v>1279</v>
      </c>
      <c r="AC146" s="172">
        <f>AVERAGE($Y$145:$Y$147)</f>
        <v>1700.3333333333333</v>
      </c>
      <c r="AD146" s="172">
        <f>MEDIAN($Y$145:$Y$147)</f>
        <v>1697</v>
      </c>
      <c r="AE146" s="172">
        <f>MAX($Y$145:$Y$147)</f>
        <v>1727</v>
      </c>
      <c r="AF146" s="172">
        <f>MIN($Y$145:$Y$147)</f>
        <v>1677</v>
      </c>
      <c r="AG146" s="172">
        <f>STDEV($Y$145:$Y$147)</f>
        <v>25.166114784235834</v>
      </c>
      <c r="AH146" s="172">
        <f>COUNT($Y$145:$Y$147)</f>
        <v>3</v>
      </c>
      <c r="AI146" s="172"/>
      <c r="AJ146" s="172"/>
      <c r="AK146" s="172"/>
      <c r="AL146" s="172"/>
    </row>
    <row r="147" spans="1:38" s="45" customFormat="1">
      <c r="A147" s="53"/>
      <c r="B147" s="290" t="s">
        <v>1276</v>
      </c>
      <c r="C147" s="291">
        <v>1989</v>
      </c>
      <c r="D147" s="66"/>
      <c r="E147" s="60" t="s">
        <v>49</v>
      </c>
      <c r="F147" s="54"/>
      <c r="G147" s="54"/>
      <c r="H147" s="54"/>
      <c r="I147" s="54"/>
      <c r="J147" s="257" t="s">
        <v>1013</v>
      </c>
      <c r="K147" s="257" t="s">
        <v>1257</v>
      </c>
      <c r="L147" s="54"/>
      <c r="M147" s="54"/>
      <c r="N147" s="54"/>
      <c r="O147" s="45" t="s">
        <v>1258</v>
      </c>
      <c r="P147" s="54"/>
      <c r="Q147" s="54"/>
      <c r="R147" s="45">
        <v>0.91400000000000003</v>
      </c>
      <c r="S147" s="54"/>
      <c r="T147" s="54"/>
      <c r="U147" s="54"/>
      <c r="V147" s="54"/>
      <c r="W147" s="54"/>
      <c r="X147" s="66">
        <f t="shared" si="6"/>
        <v>0.91400000000000003</v>
      </c>
      <c r="Y147" s="45">
        <v>1677</v>
      </c>
      <c r="Z147" s="192" t="str">
        <f t="shared" si="7"/>
        <v>F</v>
      </c>
      <c r="AA147" s="172" t="s">
        <v>1397</v>
      </c>
      <c r="AB147" s="257" t="s">
        <v>1280</v>
      </c>
      <c r="AC147" s="172">
        <f>AVERAGE($Y$148:$Y$152)</f>
        <v>1574.6</v>
      </c>
      <c r="AD147" s="172">
        <f>MEDIAN($Y$148:$Y$152)</f>
        <v>1545</v>
      </c>
      <c r="AE147" s="172">
        <f>MAX($Y$148:$Y$152)</f>
        <v>1640</v>
      </c>
      <c r="AF147" s="172">
        <f>MIN($Y$148:$Y$152)</f>
        <v>1527</v>
      </c>
      <c r="AG147" s="172">
        <f>STDEV($Y$148:$Y$152)</f>
        <v>50.74741372720387</v>
      </c>
      <c r="AH147" s="172">
        <f>COUNT($Y$148:$Y$152)</f>
        <v>5</v>
      </c>
      <c r="AI147" s="172"/>
      <c r="AJ147" s="172"/>
      <c r="AK147" s="172"/>
      <c r="AL147" s="172"/>
    </row>
    <row r="148" spans="1:38" s="45" customFormat="1">
      <c r="A148" s="53"/>
      <c r="B148" s="290" t="s">
        <v>1276</v>
      </c>
      <c r="C148" s="291">
        <v>1989</v>
      </c>
      <c r="D148" s="66"/>
      <c r="E148" s="60" t="s">
        <v>49</v>
      </c>
      <c r="F148" s="54"/>
      <c r="G148" s="54"/>
      <c r="H148" s="54"/>
      <c r="I148" s="54"/>
      <c r="J148" s="257" t="s">
        <v>1013</v>
      </c>
      <c r="K148" s="257" t="s">
        <v>1257</v>
      </c>
      <c r="L148" s="54"/>
      <c r="M148" s="54"/>
      <c r="N148" s="54"/>
      <c r="O148" s="45" t="s">
        <v>1265</v>
      </c>
      <c r="P148" s="54"/>
      <c r="Q148" s="54"/>
      <c r="R148" s="45">
        <v>0.89300000000000002</v>
      </c>
      <c r="S148" s="54"/>
      <c r="T148" s="54"/>
      <c r="U148" s="54"/>
      <c r="V148" s="54"/>
      <c r="W148" s="54"/>
      <c r="X148" s="66">
        <f t="shared" si="6"/>
        <v>0.89300000000000002</v>
      </c>
      <c r="Y148" s="45">
        <v>1640</v>
      </c>
      <c r="Z148" s="192" t="str">
        <f t="shared" si="7"/>
        <v>S</v>
      </c>
      <c r="AA148" s="172" t="s">
        <v>1397</v>
      </c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</row>
    <row r="149" spans="1:38" s="45" customFormat="1">
      <c r="A149" s="53"/>
      <c r="B149" s="290" t="s">
        <v>1276</v>
      </c>
      <c r="C149" s="291">
        <v>1989</v>
      </c>
      <c r="D149" s="66"/>
      <c r="E149" s="60" t="s">
        <v>49</v>
      </c>
      <c r="F149" s="54"/>
      <c r="G149" s="54"/>
      <c r="H149" s="54"/>
      <c r="I149" s="54"/>
      <c r="J149" s="257" t="s">
        <v>1013</v>
      </c>
      <c r="K149" s="257" t="s">
        <v>1257</v>
      </c>
      <c r="L149" s="54"/>
      <c r="M149" s="54"/>
      <c r="N149" s="54"/>
      <c r="O149" s="45" t="s">
        <v>1266</v>
      </c>
      <c r="P149" s="54"/>
      <c r="Q149" s="54"/>
      <c r="R149" s="45">
        <v>0.88200000000000001</v>
      </c>
      <c r="S149" s="54"/>
      <c r="T149" s="54"/>
      <c r="U149" s="54"/>
      <c r="V149" s="54"/>
      <c r="W149" s="54"/>
      <c r="X149" s="66">
        <f t="shared" si="6"/>
        <v>0.88200000000000001</v>
      </c>
      <c r="Y149" s="45">
        <v>1618</v>
      </c>
      <c r="Z149" s="192" t="str">
        <f t="shared" si="7"/>
        <v>S</v>
      </c>
      <c r="AA149" s="172" t="s">
        <v>1397</v>
      </c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</row>
    <row r="150" spans="1:38" s="45" customFormat="1">
      <c r="A150" s="53"/>
      <c r="B150" s="290" t="s">
        <v>1276</v>
      </c>
      <c r="C150" s="291">
        <v>1989</v>
      </c>
      <c r="D150" s="66"/>
      <c r="E150" s="60" t="s">
        <v>49</v>
      </c>
      <c r="F150" s="54"/>
      <c r="G150" s="54"/>
      <c r="H150" s="54"/>
      <c r="I150" s="54"/>
      <c r="J150" s="257" t="s">
        <v>1013</v>
      </c>
      <c r="K150" s="257" t="s">
        <v>1257</v>
      </c>
      <c r="L150" s="54"/>
      <c r="M150" s="54"/>
      <c r="N150" s="54"/>
      <c r="O150" s="45" t="s">
        <v>1264</v>
      </c>
      <c r="P150" s="54"/>
      <c r="Q150" s="54"/>
      <c r="R150" s="45">
        <v>0.84199999999999997</v>
      </c>
      <c r="S150" s="54"/>
      <c r="T150" s="54"/>
      <c r="U150" s="54"/>
      <c r="V150" s="54"/>
      <c r="W150" s="54"/>
      <c r="X150" s="66">
        <f t="shared" si="6"/>
        <v>0.84199999999999997</v>
      </c>
      <c r="Y150" s="45">
        <v>1545</v>
      </c>
      <c r="Z150" s="192" t="str">
        <f t="shared" si="7"/>
        <v>S</v>
      </c>
      <c r="AA150" s="172" t="s">
        <v>1397</v>
      </c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</row>
    <row r="151" spans="1:38" s="45" customFormat="1">
      <c r="A151" s="53"/>
      <c r="B151" s="290" t="s">
        <v>1276</v>
      </c>
      <c r="C151" s="291">
        <v>1989</v>
      </c>
      <c r="D151" s="66"/>
      <c r="E151" s="60" t="s">
        <v>49</v>
      </c>
      <c r="F151" s="54"/>
      <c r="G151" s="54"/>
      <c r="H151" s="54"/>
      <c r="I151" s="54"/>
      <c r="J151" s="257" t="s">
        <v>1013</v>
      </c>
      <c r="K151" s="257" t="s">
        <v>1257</v>
      </c>
      <c r="L151" s="54"/>
      <c r="M151" s="54"/>
      <c r="N151" s="54"/>
      <c r="O151" s="45" t="s">
        <v>1262</v>
      </c>
      <c r="P151" s="54"/>
      <c r="Q151" s="54"/>
      <c r="R151" s="45">
        <v>0.84099999999999997</v>
      </c>
      <c r="S151" s="54"/>
      <c r="T151" s="54"/>
      <c r="U151" s="54"/>
      <c r="V151" s="54"/>
      <c r="W151" s="54"/>
      <c r="X151" s="66">
        <f t="shared" si="6"/>
        <v>0.84099999999999997</v>
      </c>
      <c r="Y151" s="45">
        <v>1543</v>
      </c>
      <c r="Z151" s="192" t="str">
        <f t="shared" si="7"/>
        <v>S</v>
      </c>
      <c r="AA151" s="172" t="s">
        <v>1397</v>
      </c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</row>
    <row r="152" spans="1:38" s="45" customFormat="1">
      <c r="A152" s="53"/>
      <c r="B152" s="290" t="s">
        <v>1276</v>
      </c>
      <c r="C152" s="291">
        <v>1989</v>
      </c>
      <c r="D152" s="66"/>
      <c r="E152" s="60" t="s">
        <v>49</v>
      </c>
      <c r="F152" s="54"/>
      <c r="G152" s="54"/>
      <c r="H152" s="54"/>
      <c r="I152" s="54"/>
      <c r="J152" s="257" t="s">
        <v>1013</v>
      </c>
      <c r="K152" s="257" t="s">
        <v>1257</v>
      </c>
      <c r="L152" s="54"/>
      <c r="M152" s="54"/>
      <c r="N152" s="54"/>
      <c r="O152" s="45" t="s">
        <v>1263</v>
      </c>
      <c r="P152" s="54"/>
      <c r="Q152" s="54"/>
      <c r="R152" s="45">
        <v>0.83199999999999996</v>
      </c>
      <c r="S152" s="54"/>
      <c r="T152" s="54"/>
      <c r="U152" s="54"/>
      <c r="V152" s="54"/>
      <c r="W152" s="54"/>
      <c r="X152" s="66">
        <f t="shared" si="6"/>
        <v>0.83199999999999996</v>
      </c>
      <c r="Y152" s="45">
        <v>1527</v>
      </c>
      <c r="Z152" s="192" t="str">
        <f t="shared" si="7"/>
        <v>S</v>
      </c>
      <c r="AA152" s="172" t="s">
        <v>1397</v>
      </c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</row>
    <row r="153" spans="1:38" s="45" customFormat="1">
      <c r="A153" s="53"/>
      <c r="B153" s="290" t="s">
        <v>1276</v>
      </c>
      <c r="C153" s="291">
        <v>1989</v>
      </c>
      <c r="D153" s="66"/>
      <c r="E153" s="60" t="s">
        <v>49</v>
      </c>
      <c r="F153" s="54"/>
      <c r="G153" s="54"/>
      <c r="H153" s="54"/>
      <c r="I153" s="54"/>
      <c r="J153" s="257" t="s">
        <v>1013</v>
      </c>
      <c r="K153" s="257" t="s">
        <v>1257</v>
      </c>
      <c r="L153" s="54"/>
      <c r="M153" s="54"/>
      <c r="N153" s="54"/>
      <c r="O153" s="45" t="s">
        <v>1261</v>
      </c>
      <c r="P153" s="54"/>
      <c r="Q153" s="54"/>
      <c r="R153" s="45">
        <v>0.75600000000000001</v>
      </c>
      <c r="S153" s="54"/>
      <c r="T153" s="54"/>
      <c r="U153" s="54"/>
      <c r="V153" s="54"/>
      <c r="W153" s="54"/>
      <c r="X153" s="66">
        <f t="shared" si="6"/>
        <v>0.75600000000000001</v>
      </c>
      <c r="Y153" s="45">
        <v>1386</v>
      </c>
      <c r="Z153" s="192" t="str">
        <f t="shared" si="7"/>
        <v>S</v>
      </c>
      <c r="AA153" s="172" t="s">
        <v>1397</v>
      </c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</row>
    <row r="154" spans="1:38" s="45" customFormat="1">
      <c r="A154" s="53"/>
      <c r="B154" s="290" t="s">
        <v>1276</v>
      </c>
      <c r="C154" s="291">
        <v>1989</v>
      </c>
      <c r="D154" s="66"/>
      <c r="E154" s="60" t="s">
        <v>49</v>
      </c>
      <c r="F154" s="54"/>
      <c r="G154" s="54"/>
      <c r="H154" s="54"/>
      <c r="I154" s="54"/>
      <c r="J154" s="257" t="s">
        <v>1013</v>
      </c>
      <c r="K154" s="257" t="s">
        <v>1256</v>
      </c>
      <c r="L154" s="54"/>
      <c r="M154" s="54"/>
      <c r="N154" s="54"/>
      <c r="O154" s="45" t="s">
        <v>1268</v>
      </c>
      <c r="P154" s="54"/>
      <c r="Q154" s="54"/>
      <c r="R154" s="45">
        <v>0.95099999999999996</v>
      </c>
      <c r="S154" s="54"/>
      <c r="T154" s="54"/>
      <c r="U154" s="54"/>
      <c r="V154" s="54"/>
      <c r="W154" s="54"/>
      <c r="X154" s="66">
        <f t="shared" si="6"/>
        <v>0.95099999999999996</v>
      </c>
      <c r="Y154" s="45">
        <v>1745</v>
      </c>
      <c r="Z154" s="192" t="str">
        <f t="shared" si="7"/>
        <v>F</v>
      </c>
      <c r="AA154" s="172" t="s">
        <v>1397</v>
      </c>
      <c r="AB154" s="257" t="s">
        <v>1393</v>
      </c>
      <c r="AC154" s="317">
        <f>AVERAGE($Y$154:$Y$162)</f>
        <v>1607.7777777777778</v>
      </c>
      <c r="AD154" s="317">
        <f>MEDIAN($Y$154:$Y$162)</f>
        <v>1566</v>
      </c>
      <c r="AE154" s="317">
        <f>MAX($Y$154:$Y$162)</f>
        <v>1745</v>
      </c>
      <c r="AF154" s="317">
        <f>MIN($Y$154:$Y$162)</f>
        <v>1460</v>
      </c>
      <c r="AG154" s="317">
        <f>STDEV($Y$154:$Y$162)</f>
        <v>104.76375539490958</v>
      </c>
      <c r="AH154" s="317">
        <f>COUNT($Y$154:$Y$162)</f>
        <v>9</v>
      </c>
      <c r="AI154" s="172"/>
      <c r="AJ154" s="172"/>
      <c r="AK154" s="172"/>
      <c r="AL154" s="172"/>
    </row>
    <row r="155" spans="1:38" s="45" customFormat="1">
      <c r="A155" s="53"/>
      <c r="B155" s="290" t="s">
        <v>1276</v>
      </c>
      <c r="C155" s="291">
        <v>1989</v>
      </c>
      <c r="D155" s="66"/>
      <c r="E155" s="60" t="s">
        <v>49</v>
      </c>
      <c r="F155" s="54"/>
      <c r="G155" s="54"/>
      <c r="H155" s="54"/>
      <c r="I155" s="54"/>
      <c r="J155" s="257" t="s">
        <v>1013</v>
      </c>
      <c r="K155" s="257" t="s">
        <v>1256</v>
      </c>
      <c r="L155" s="54"/>
      <c r="M155" s="54"/>
      <c r="N155" s="54"/>
      <c r="O155" s="45" t="s">
        <v>1269</v>
      </c>
      <c r="P155" s="54"/>
      <c r="Q155" s="54"/>
      <c r="R155" s="45">
        <v>0.94699999999999995</v>
      </c>
      <c r="S155" s="54"/>
      <c r="T155" s="54"/>
      <c r="U155" s="54"/>
      <c r="V155" s="54"/>
      <c r="W155" s="54"/>
      <c r="X155" s="66">
        <f t="shared" si="6"/>
        <v>0.94699999999999995</v>
      </c>
      <c r="Y155" s="45">
        <v>1739</v>
      </c>
      <c r="Z155" s="192" t="str">
        <f t="shared" si="7"/>
        <v>F</v>
      </c>
      <c r="AA155" s="172" t="s">
        <v>1397</v>
      </c>
      <c r="AB155" s="257" t="s">
        <v>1281</v>
      </c>
      <c r="AC155" s="172">
        <f>AVERAGE($Y$154:$Y$157)</f>
        <v>1709.75</v>
      </c>
      <c r="AD155" s="172">
        <f>MEDIAN($Y$154:$Y$157)</f>
        <v>1721.5</v>
      </c>
      <c r="AE155" s="172">
        <f>MAX($Y$154:$Y$157)</f>
        <v>1745</v>
      </c>
      <c r="AF155" s="172">
        <f>MIN($Y$154:$Y$157)</f>
        <v>1651</v>
      </c>
      <c r="AG155" s="172">
        <f>STDEV($Y$154:$Y$157)</f>
        <v>43.138343346339425</v>
      </c>
      <c r="AH155" s="172">
        <f>COUNT($Y$154:$Y$157)</f>
        <v>4</v>
      </c>
      <c r="AI155" s="172"/>
      <c r="AJ155" s="172"/>
      <c r="AK155" s="172"/>
      <c r="AL155" s="172"/>
    </row>
    <row r="156" spans="1:38" s="45" customFormat="1">
      <c r="A156" s="53"/>
      <c r="B156" s="290" t="s">
        <v>1276</v>
      </c>
      <c r="C156" s="291">
        <v>1989</v>
      </c>
      <c r="D156" s="66"/>
      <c r="E156" s="60" t="s">
        <v>49</v>
      </c>
      <c r="F156" s="54"/>
      <c r="G156" s="54"/>
      <c r="H156" s="54"/>
      <c r="I156" s="54"/>
      <c r="J156" s="257" t="s">
        <v>1013</v>
      </c>
      <c r="K156" s="257" t="s">
        <v>1256</v>
      </c>
      <c r="L156" s="54"/>
      <c r="M156" s="54"/>
      <c r="N156" s="54"/>
      <c r="O156" s="45" t="s">
        <v>1267</v>
      </c>
      <c r="P156" s="54"/>
      <c r="Q156" s="54"/>
      <c r="R156" s="45">
        <v>0.92800000000000005</v>
      </c>
      <c r="S156" s="54"/>
      <c r="T156" s="54"/>
      <c r="U156" s="54"/>
      <c r="V156" s="54"/>
      <c r="W156" s="54"/>
      <c r="X156" s="66">
        <f t="shared" si="6"/>
        <v>0.92800000000000005</v>
      </c>
      <c r="Y156" s="45">
        <v>1704</v>
      </c>
      <c r="Z156" s="192" t="str">
        <f t="shared" si="7"/>
        <v>F</v>
      </c>
      <c r="AA156" s="172" t="s">
        <v>1397</v>
      </c>
      <c r="AB156" s="257" t="s">
        <v>1282</v>
      </c>
      <c r="AC156" s="172">
        <f>AVERAGE($Y$158:$Y$161)</f>
        <v>1542.75</v>
      </c>
      <c r="AD156" s="172">
        <f>MEDIAN($Y$158:$Y$161)</f>
        <v>1548.5</v>
      </c>
      <c r="AE156" s="172">
        <f>MAX($Y$158:$Y$161)</f>
        <v>1566</v>
      </c>
      <c r="AF156" s="172">
        <f>MIN($Y$158:$Y$161)</f>
        <v>1508</v>
      </c>
      <c r="AG156" s="172">
        <f>STDEV($Y$158:$Y$161)</f>
        <v>24.998333277774073</v>
      </c>
      <c r="AH156" s="172">
        <f>COUNT($Y$158:$Y$161)</f>
        <v>4</v>
      </c>
      <c r="AI156" s="172"/>
      <c r="AJ156" s="172"/>
      <c r="AK156" s="172"/>
      <c r="AL156" s="172"/>
    </row>
    <row r="157" spans="1:38" s="45" customFormat="1">
      <c r="A157" s="53"/>
      <c r="B157" s="290" t="s">
        <v>1276</v>
      </c>
      <c r="C157" s="291">
        <v>1989</v>
      </c>
      <c r="D157" s="66"/>
      <c r="E157" s="60" t="s">
        <v>49</v>
      </c>
      <c r="F157" s="54"/>
      <c r="G157" s="54"/>
      <c r="H157" s="54"/>
      <c r="I157" s="54"/>
      <c r="J157" s="257" t="s">
        <v>1013</v>
      </c>
      <c r="K157" s="257" t="s">
        <v>1256</v>
      </c>
      <c r="L157" s="54"/>
      <c r="M157" s="54"/>
      <c r="N157" s="54"/>
      <c r="O157" s="45" t="s">
        <v>1274</v>
      </c>
      <c r="P157" s="54"/>
      <c r="Q157" s="54"/>
      <c r="R157" s="45">
        <v>0.9</v>
      </c>
      <c r="S157" s="54"/>
      <c r="T157" s="54"/>
      <c r="U157" s="54"/>
      <c r="V157" s="54"/>
      <c r="W157" s="54"/>
      <c r="X157" s="66">
        <f t="shared" si="6"/>
        <v>0.9</v>
      </c>
      <c r="Y157" s="45">
        <v>1651</v>
      </c>
      <c r="Z157" s="192" t="str">
        <f t="shared" si="7"/>
        <v>F</v>
      </c>
      <c r="AA157" s="172" t="s">
        <v>1397</v>
      </c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</row>
    <row r="158" spans="1:38" s="45" customFormat="1">
      <c r="A158" s="53"/>
      <c r="B158" s="290" t="s">
        <v>1276</v>
      </c>
      <c r="C158" s="291">
        <v>1989</v>
      </c>
      <c r="D158" s="66"/>
      <c r="E158" s="60" t="s">
        <v>49</v>
      </c>
      <c r="F158" s="54"/>
      <c r="G158" s="54"/>
      <c r="H158" s="54"/>
      <c r="I158" s="54"/>
      <c r="J158" s="257" t="s">
        <v>1013</v>
      </c>
      <c r="K158" s="257" t="s">
        <v>1256</v>
      </c>
      <c r="L158" s="54"/>
      <c r="M158" s="54"/>
      <c r="N158" s="54"/>
      <c r="O158" s="45" t="s">
        <v>1271</v>
      </c>
      <c r="P158" s="54"/>
      <c r="Q158" s="54"/>
      <c r="R158" s="45">
        <v>0.85399999999999998</v>
      </c>
      <c r="S158" s="54"/>
      <c r="T158" s="54"/>
      <c r="U158" s="54"/>
      <c r="V158" s="54"/>
      <c r="W158" s="54"/>
      <c r="X158" s="66">
        <f t="shared" si="6"/>
        <v>0.85399999999999998</v>
      </c>
      <c r="Y158" s="45">
        <v>1566</v>
      </c>
      <c r="Z158" s="192" t="str">
        <f t="shared" si="7"/>
        <v>S</v>
      </c>
      <c r="AA158" s="172" t="s">
        <v>1397</v>
      </c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</row>
    <row r="159" spans="1:38" s="45" customFormat="1">
      <c r="A159" s="53"/>
      <c r="B159" s="290" t="s">
        <v>1276</v>
      </c>
      <c r="C159" s="291">
        <v>1989</v>
      </c>
      <c r="D159" s="66"/>
      <c r="E159" s="60" t="s">
        <v>49</v>
      </c>
      <c r="F159" s="54"/>
      <c r="G159" s="54"/>
      <c r="H159" s="54"/>
      <c r="I159" s="54"/>
      <c r="J159" s="257" t="s">
        <v>1013</v>
      </c>
      <c r="K159" s="257" t="s">
        <v>1256</v>
      </c>
      <c r="L159" s="54"/>
      <c r="M159" s="54"/>
      <c r="N159" s="54"/>
      <c r="O159" s="45" t="s">
        <v>1275</v>
      </c>
      <c r="P159" s="54"/>
      <c r="Q159" s="54"/>
      <c r="R159" s="45">
        <v>0.84699999999999998</v>
      </c>
      <c r="S159" s="54"/>
      <c r="T159" s="54"/>
      <c r="U159" s="54"/>
      <c r="V159" s="54"/>
      <c r="W159" s="54"/>
      <c r="X159" s="66">
        <f t="shared" si="6"/>
        <v>0.84699999999999998</v>
      </c>
      <c r="Y159" s="45">
        <v>1554</v>
      </c>
      <c r="Z159" s="192" t="str">
        <f t="shared" si="7"/>
        <v>S</v>
      </c>
      <c r="AA159" s="172" t="s">
        <v>1397</v>
      </c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</row>
    <row r="160" spans="1:38" s="45" customFormat="1">
      <c r="A160" s="53"/>
      <c r="B160" s="290" t="s">
        <v>1276</v>
      </c>
      <c r="C160" s="291">
        <v>1989</v>
      </c>
      <c r="D160" s="66"/>
      <c r="E160" s="60" t="s">
        <v>49</v>
      </c>
      <c r="F160" s="54"/>
      <c r="G160" s="54"/>
      <c r="H160" s="54"/>
      <c r="I160" s="54"/>
      <c r="J160" s="257" t="s">
        <v>1013</v>
      </c>
      <c r="K160" s="257" t="s">
        <v>1256</v>
      </c>
      <c r="L160" s="54"/>
      <c r="M160" s="54"/>
      <c r="N160" s="54"/>
      <c r="O160" s="45" t="s">
        <v>1273</v>
      </c>
      <c r="P160" s="54"/>
      <c r="Q160" s="54"/>
      <c r="R160" s="45">
        <v>0.84099999999999997</v>
      </c>
      <c r="S160" s="54"/>
      <c r="T160" s="54"/>
      <c r="U160" s="54"/>
      <c r="V160" s="54"/>
      <c r="W160" s="54"/>
      <c r="X160" s="66">
        <f t="shared" si="6"/>
        <v>0.84099999999999997</v>
      </c>
      <c r="Y160" s="45">
        <v>1543</v>
      </c>
      <c r="Z160" s="192" t="str">
        <f t="shared" si="7"/>
        <v>S</v>
      </c>
      <c r="AA160" s="172" t="s">
        <v>1397</v>
      </c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</row>
    <row r="161" spans="1:38" s="45" customFormat="1">
      <c r="A161" s="53"/>
      <c r="B161" s="290" t="s">
        <v>1276</v>
      </c>
      <c r="C161" s="291">
        <v>1989</v>
      </c>
      <c r="D161" s="66"/>
      <c r="E161" s="60" t="s">
        <v>49</v>
      </c>
      <c r="F161" s="54"/>
      <c r="G161" s="54"/>
      <c r="H161" s="54"/>
      <c r="I161" s="54"/>
      <c r="J161" s="257" t="s">
        <v>1013</v>
      </c>
      <c r="K161" s="257" t="s">
        <v>1256</v>
      </c>
      <c r="L161" s="54"/>
      <c r="M161" s="54"/>
      <c r="N161" s="54"/>
      <c r="O161" s="45" t="s">
        <v>1272</v>
      </c>
      <c r="P161" s="54"/>
      <c r="Q161" s="54"/>
      <c r="R161" s="45">
        <v>0.82199999999999995</v>
      </c>
      <c r="S161" s="54"/>
      <c r="T161" s="54"/>
      <c r="U161" s="54"/>
      <c r="V161" s="54"/>
      <c r="W161" s="54"/>
      <c r="X161" s="66">
        <f t="shared" si="6"/>
        <v>0.82199999999999995</v>
      </c>
      <c r="Y161" s="45">
        <v>1508</v>
      </c>
      <c r="Z161" s="192" t="str">
        <f t="shared" si="7"/>
        <v>S</v>
      </c>
      <c r="AA161" s="172" t="s">
        <v>1397</v>
      </c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</row>
    <row r="162" spans="1:38" s="45" customFormat="1">
      <c r="A162" s="53"/>
      <c r="B162" s="290" t="s">
        <v>1276</v>
      </c>
      <c r="C162" s="291">
        <v>1989</v>
      </c>
      <c r="D162" s="66"/>
      <c r="E162" s="60" t="s">
        <v>49</v>
      </c>
      <c r="F162" s="54"/>
      <c r="G162" s="54"/>
      <c r="H162" s="54"/>
      <c r="I162" s="54"/>
      <c r="J162" s="257" t="s">
        <v>1013</v>
      </c>
      <c r="K162" s="257" t="s">
        <v>1256</v>
      </c>
      <c r="L162" s="54"/>
      <c r="M162" s="54"/>
      <c r="N162" s="54"/>
      <c r="O162" s="45" t="s">
        <v>1270</v>
      </c>
      <c r="P162" s="54"/>
      <c r="Q162" s="54"/>
      <c r="R162" s="45">
        <v>0.79600000000000004</v>
      </c>
      <c r="S162" s="54"/>
      <c r="T162" s="54"/>
      <c r="U162" s="54"/>
      <c r="V162" s="54"/>
      <c r="W162" s="54"/>
      <c r="X162" s="66">
        <f t="shared" si="6"/>
        <v>0.79600000000000004</v>
      </c>
      <c r="Y162" s="45">
        <v>1460</v>
      </c>
      <c r="Z162" s="192" t="str">
        <f t="shared" si="7"/>
        <v>S</v>
      </c>
      <c r="AA162" s="172" t="s">
        <v>1397</v>
      </c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</row>
    <row r="163" spans="1:38" s="45" customFormat="1">
      <c r="A163" s="53">
        <v>35</v>
      </c>
      <c r="B163" s="60" t="s">
        <v>45</v>
      </c>
      <c r="C163" s="60">
        <v>1982</v>
      </c>
      <c r="D163" s="60" t="s">
        <v>46</v>
      </c>
      <c r="E163" s="56" t="s">
        <v>49</v>
      </c>
      <c r="F163" s="54" t="s">
        <v>50</v>
      </c>
      <c r="G163" s="54" t="s">
        <v>51</v>
      </c>
      <c r="H163" s="54" t="s">
        <v>23</v>
      </c>
      <c r="I163" s="54"/>
      <c r="J163" s="54" t="s">
        <v>1013</v>
      </c>
      <c r="K163" s="54" t="s">
        <v>1134</v>
      </c>
      <c r="L163" s="54" t="s">
        <v>52</v>
      </c>
      <c r="M163" s="54"/>
      <c r="N163" s="54"/>
      <c r="O163" s="54" t="s">
        <v>56</v>
      </c>
      <c r="P163" s="54"/>
      <c r="Q163" s="54"/>
      <c r="R163" s="54"/>
      <c r="S163" s="54"/>
      <c r="T163" s="54"/>
      <c r="U163" s="54"/>
      <c r="V163" s="54"/>
      <c r="W163" s="54"/>
      <c r="X163" s="66" t="str">
        <f t="shared" si="6"/>
        <v/>
      </c>
      <c r="Y163" s="72">
        <v>667</v>
      </c>
      <c r="Z163" s="192" t="s">
        <v>1192</v>
      </c>
      <c r="AA163" s="172" t="s">
        <v>1397</v>
      </c>
      <c r="AB163" s="66" t="s">
        <v>1401</v>
      </c>
      <c r="AC163" s="172">
        <f>AVERAGE($Y$163:$Y$205)</f>
        <v>1462.4651162790697</v>
      </c>
      <c r="AD163" s="172">
        <f>MEDIAN($Y$163:$Y$205)</f>
        <v>1451</v>
      </c>
      <c r="AE163" s="172">
        <f>MAX($Y$163:$Y$205)</f>
        <v>1760</v>
      </c>
      <c r="AF163" s="172">
        <f>MIN($Y$163:$Y$205)</f>
        <v>667</v>
      </c>
      <c r="AG163" s="172">
        <f>STDEV($Y$163:$Y$205)</f>
        <v>189.17506994180357</v>
      </c>
      <c r="AH163" s="172">
        <f>COUNT($Y$163:$Y$205)</f>
        <v>43</v>
      </c>
      <c r="AI163" s="172"/>
      <c r="AJ163" s="172"/>
      <c r="AK163" s="172"/>
      <c r="AL163" s="172"/>
    </row>
    <row r="164" spans="1:38" s="45" customFormat="1">
      <c r="A164" s="53">
        <v>35</v>
      </c>
      <c r="B164" s="60" t="s">
        <v>45</v>
      </c>
      <c r="C164" s="60">
        <v>1982</v>
      </c>
      <c r="D164" s="60" t="s">
        <v>46</v>
      </c>
      <c r="E164" s="56" t="s">
        <v>49</v>
      </c>
      <c r="F164" s="54" t="s">
        <v>50</v>
      </c>
      <c r="G164" s="54" t="s">
        <v>51</v>
      </c>
      <c r="H164" s="54" t="s">
        <v>23</v>
      </c>
      <c r="I164" s="54"/>
      <c r="J164" s="54" t="s">
        <v>1013</v>
      </c>
      <c r="K164" s="54" t="s">
        <v>1134</v>
      </c>
      <c r="L164" s="54" t="s">
        <v>52</v>
      </c>
      <c r="M164" s="54"/>
      <c r="N164" s="54"/>
      <c r="O164" s="54" t="s">
        <v>53</v>
      </c>
      <c r="P164" s="54"/>
      <c r="Q164" s="54"/>
      <c r="R164" s="54"/>
      <c r="S164" s="54"/>
      <c r="T164" s="54"/>
      <c r="U164" s="54"/>
      <c r="V164" s="54"/>
      <c r="W164" s="54"/>
      <c r="X164" s="66" t="str">
        <f t="shared" si="6"/>
        <v/>
      </c>
      <c r="Y164" s="72">
        <v>1629</v>
      </c>
      <c r="Z164" s="192" t="s">
        <v>1192</v>
      </c>
      <c r="AA164" s="172" t="s">
        <v>1397</v>
      </c>
      <c r="AB164" s="66" t="s">
        <v>1402</v>
      </c>
      <c r="AC164" s="172">
        <f>AVERAGE($Y$163:$Y$172)</f>
        <v>1579.2</v>
      </c>
      <c r="AD164" s="172">
        <f>MEDIAN($Y$163:$Y$172)</f>
        <v>1664</v>
      </c>
      <c r="AE164" s="172">
        <f>MAX($Y$163:$Y$172)</f>
        <v>1760</v>
      </c>
      <c r="AF164" s="172">
        <f>MIN($Y$163:$Y$172)</f>
        <v>667</v>
      </c>
      <c r="AG164" s="172">
        <f>STDEV($Y$163:$Y$172)</f>
        <v>322.99494320087041</v>
      </c>
      <c r="AH164" s="172">
        <f>COUNT($Y$163:$Y$172)</f>
        <v>10</v>
      </c>
      <c r="AI164" s="172"/>
      <c r="AJ164" s="172"/>
      <c r="AK164" s="172"/>
      <c r="AL164" s="172"/>
    </row>
    <row r="165" spans="1:38" s="45" customFormat="1">
      <c r="A165" s="53">
        <v>35</v>
      </c>
      <c r="B165" s="60" t="s">
        <v>45</v>
      </c>
      <c r="C165" s="60">
        <v>1982</v>
      </c>
      <c r="D165" s="60" t="s">
        <v>46</v>
      </c>
      <c r="E165" s="56" t="s">
        <v>49</v>
      </c>
      <c r="F165" s="54" t="s">
        <v>50</v>
      </c>
      <c r="G165" s="54" t="s">
        <v>51</v>
      </c>
      <c r="H165" s="54" t="s">
        <v>23</v>
      </c>
      <c r="I165" s="54"/>
      <c r="J165" s="54" t="s">
        <v>1013</v>
      </c>
      <c r="K165" s="54" t="s">
        <v>1134</v>
      </c>
      <c r="L165" s="54" t="s">
        <v>52</v>
      </c>
      <c r="M165" s="54"/>
      <c r="N165" s="54"/>
      <c r="O165" s="54" t="s">
        <v>57</v>
      </c>
      <c r="P165" s="54"/>
      <c r="Q165" s="54"/>
      <c r="R165" s="54"/>
      <c r="S165" s="54"/>
      <c r="T165" s="54"/>
      <c r="U165" s="54"/>
      <c r="V165" s="54"/>
      <c r="W165" s="54"/>
      <c r="X165" s="66" t="str">
        <f t="shared" si="6"/>
        <v/>
      </c>
      <c r="Y165" s="72">
        <v>1646</v>
      </c>
      <c r="Z165" s="192" t="s">
        <v>1192</v>
      </c>
      <c r="AA165" s="172" t="s">
        <v>1397</v>
      </c>
      <c r="AB165" s="66" t="s">
        <v>1403</v>
      </c>
      <c r="AC165" s="172">
        <f>AVERAGE($Y$184:$Y$192)</f>
        <v>1547.5555555555557</v>
      </c>
      <c r="AD165" s="172">
        <f>MEDIAN($Y$184:$Y$192)</f>
        <v>1538</v>
      </c>
      <c r="AE165" s="172">
        <f>MAX($Y$184:$Y$192)</f>
        <v>1635</v>
      </c>
      <c r="AF165" s="172">
        <f>MIN($Y$184:$Y$192)</f>
        <v>1458</v>
      </c>
      <c r="AG165" s="172">
        <f>STDEV($Y$184:$Y$192)</f>
        <v>70.3759744357247</v>
      </c>
      <c r="AH165" s="172">
        <f>COUNT($Y$184:$Y$192)</f>
        <v>9</v>
      </c>
      <c r="AI165" s="172"/>
      <c r="AJ165" s="172"/>
      <c r="AK165" s="172"/>
      <c r="AL165" s="172"/>
    </row>
    <row r="166" spans="1:38" s="45" customFormat="1">
      <c r="A166" s="53">
        <v>35</v>
      </c>
      <c r="B166" s="60" t="s">
        <v>45</v>
      </c>
      <c r="C166" s="60">
        <v>1982</v>
      </c>
      <c r="D166" s="60" t="s">
        <v>46</v>
      </c>
      <c r="E166" s="56" t="s">
        <v>49</v>
      </c>
      <c r="F166" s="54" t="s">
        <v>50</v>
      </c>
      <c r="G166" s="54" t="s">
        <v>51</v>
      </c>
      <c r="H166" s="54" t="s">
        <v>23</v>
      </c>
      <c r="I166" s="54"/>
      <c r="J166" s="54" t="s">
        <v>1013</v>
      </c>
      <c r="K166" s="54" t="s">
        <v>1134</v>
      </c>
      <c r="L166" s="54" t="s">
        <v>52</v>
      </c>
      <c r="M166" s="54"/>
      <c r="N166" s="54"/>
      <c r="O166" s="54" t="s">
        <v>54</v>
      </c>
      <c r="P166" s="54"/>
      <c r="Q166" s="54"/>
      <c r="R166" s="54"/>
      <c r="S166" s="54"/>
      <c r="T166" s="54"/>
      <c r="U166" s="54"/>
      <c r="V166" s="54"/>
      <c r="W166" s="54"/>
      <c r="X166" s="66" t="str">
        <f t="shared" si="6"/>
        <v/>
      </c>
      <c r="Y166" s="72">
        <v>1695</v>
      </c>
      <c r="Z166" s="192" t="s">
        <v>1192</v>
      </c>
      <c r="AA166" s="172" t="s">
        <v>1397</v>
      </c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</row>
    <row r="167" spans="1:38" s="45" customFormat="1">
      <c r="A167" s="53">
        <v>35</v>
      </c>
      <c r="B167" s="60" t="s">
        <v>45</v>
      </c>
      <c r="C167" s="60">
        <v>1982</v>
      </c>
      <c r="D167" s="60" t="s">
        <v>46</v>
      </c>
      <c r="E167" s="56" t="s">
        <v>49</v>
      </c>
      <c r="F167" s="54" t="s">
        <v>50</v>
      </c>
      <c r="G167" s="54" t="s">
        <v>51</v>
      </c>
      <c r="H167" s="54" t="s">
        <v>23</v>
      </c>
      <c r="I167" s="54"/>
      <c r="J167" s="54" t="s">
        <v>1013</v>
      </c>
      <c r="K167" s="54" t="s">
        <v>1134</v>
      </c>
      <c r="L167" s="54" t="s">
        <v>52</v>
      </c>
      <c r="M167" s="54"/>
      <c r="N167" s="54"/>
      <c r="O167" s="54" t="s">
        <v>55</v>
      </c>
      <c r="P167" s="54"/>
      <c r="Q167" s="54"/>
      <c r="R167" s="54"/>
      <c r="S167" s="54"/>
      <c r="T167" s="54"/>
      <c r="U167" s="54"/>
      <c r="V167" s="54"/>
      <c r="W167" s="54"/>
      <c r="X167" s="66" t="str">
        <f t="shared" si="6"/>
        <v/>
      </c>
      <c r="Y167" s="72">
        <v>1703</v>
      </c>
      <c r="Z167" s="192" t="s">
        <v>1192</v>
      </c>
      <c r="AA167" s="172" t="s">
        <v>1397</v>
      </c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</row>
    <row r="168" spans="1:38" s="45" customFormat="1">
      <c r="A168" s="53">
        <v>37</v>
      </c>
      <c r="B168" s="60" t="s">
        <v>45</v>
      </c>
      <c r="C168" s="60">
        <v>1982</v>
      </c>
      <c r="D168" s="60" t="s">
        <v>92</v>
      </c>
      <c r="E168" s="56" t="s">
        <v>49</v>
      </c>
      <c r="F168" s="54">
        <v>1989</v>
      </c>
      <c r="G168" s="54" t="s">
        <v>94</v>
      </c>
      <c r="H168" s="54" t="s">
        <v>95</v>
      </c>
      <c r="I168" s="54"/>
      <c r="J168" s="54" t="s">
        <v>1013</v>
      </c>
      <c r="K168" s="54" t="s">
        <v>1134</v>
      </c>
      <c r="L168" s="54" t="s">
        <v>96</v>
      </c>
      <c r="M168" s="54"/>
      <c r="N168" s="54"/>
      <c r="O168" s="54" t="s">
        <v>102</v>
      </c>
      <c r="P168" s="54"/>
      <c r="Q168" s="54"/>
      <c r="R168" s="54"/>
      <c r="S168" s="54"/>
      <c r="T168" s="54"/>
      <c r="U168" s="54"/>
      <c r="V168" s="54">
        <v>1760</v>
      </c>
      <c r="W168" s="54"/>
      <c r="X168" s="66" t="str">
        <f t="shared" si="6"/>
        <v/>
      </c>
      <c r="Y168" s="72">
        <f>+V168</f>
        <v>1760</v>
      </c>
      <c r="Z168" s="192" t="s">
        <v>1192</v>
      </c>
      <c r="AA168" s="172" t="s">
        <v>1397</v>
      </c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</row>
    <row r="169" spans="1:38" s="45" customFormat="1">
      <c r="A169" s="53">
        <v>46</v>
      </c>
      <c r="B169" s="60" t="s">
        <v>45</v>
      </c>
      <c r="C169" s="60">
        <v>1984</v>
      </c>
      <c r="D169" s="60" t="s">
        <v>113</v>
      </c>
      <c r="E169" s="56" t="s">
        <v>49</v>
      </c>
      <c r="F169" s="54">
        <v>1983</v>
      </c>
      <c r="G169" s="54" t="s">
        <v>116</v>
      </c>
      <c r="H169" s="54" t="s">
        <v>95</v>
      </c>
      <c r="I169" s="54"/>
      <c r="J169" s="54" t="s">
        <v>1013</v>
      </c>
      <c r="K169" s="54" t="s">
        <v>1134</v>
      </c>
      <c r="L169" s="54" t="s">
        <v>117</v>
      </c>
      <c r="M169" s="54"/>
      <c r="N169" s="54"/>
      <c r="O169" s="54" t="s">
        <v>134</v>
      </c>
      <c r="P169" s="54"/>
      <c r="Q169" s="54"/>
      <c r="R169" s="54">
        <v>0.94</v>
      </c>
      <c r="S169" s="54"/>
      <c r="T169" s="54"/>
      <c r="U169" s="54"/>
      <c r="V169" s="54"/>
      <c r="W169" s="54"/>
      <c r="X169" s="66">
        <f t="shared" si="6"/>
        <v>0.94</v>
      </c>
      <c r="Y169" s="72">
        <v>1720</v>
      </c>
      <c r="Z169" s="192" t="str">
        <f>IF(X169&lt;&gt;"",IF(X169&lt;0.9,"S","F"),"")</f>
        <v>F</v>
      </c>
      <c r="AA169" s="172" t="s">
        <v>1397</v>
      </c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</row>
    <row r="170" spans="1:38" s="45" customFormat="1">
      <c r="A170" s="53">
        <v>35</v>
      </c>
      <c r="B170" s="60" t="s">
        <v>45</v>
      </c>
      <c r="C170" s="60">
        <v>1982</v>
      </c>
      <c r="D170" s="60" t="s">
        <v>46</v>
      </c>
      <c r="E170" s="56" t="s">
        <v>49</v>
      </c>
      <c r="F170" s="54" t="s">
        <v>50</v>
      </c>
      <c r="G170" s="54" t="s">
        <v>51</v>
      </c>
      <c r="H170" s="54" t="s">
        <v>23</v>
      </c>
      <c r="I170" s="54"/>
      <c r="J170" s="54" t="s">
        <v>1013</v>
      </c>
      <c r="K170" s="54" t="s">
        <v>1134</v>
      </c>
      <c r="L170" s="54" t="s">
        <v>52</v>
      </c>
      <c r="M170" s="54"/>
      <c r="N170" s="54"/>
      <c r="O170" s="54" t="s">
        <v>69</v>
      </c>
      <c r="P170" s="54">
        <v>0.91</v>
      </c>
      <c r="Q170" s="54"/>
      <c r="R170" s="54">
        <f>+P170</f>
        <v>0.91</v>
      </c>
      <c r="S170" s="54"/>
      <c r="T170" s="54"/>
      <c r="U170" s="54"/>
      <c r="V170" s="54">
        <v>1669</v>
      </c>
      <c r="W170" s="54"/>
      <c r="X170" s="66">
        <f t="shared" si="6"/>
        <v>0.91</v>
      </c>
      <c r="Y170" s="72">
        <f>+V170</f>
        <v>1669</v>
      </c>
      <c r="Z170" s="192" t="str">
        <f>IF(X170&lt;&gt;"",IF(X170&lt;0.9,"S","F"),"")</f>
        <v>F</v>
      </c>
      <c r="AA170" s="172" t="s">
        <v>1397</v>
      </c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</row>
    <row r="171" spans="1:38" s="45" customFormat="1">
      <c r="A171" s="53">
        <v>35</v>
      </c>
      <c r="B171" s="60" t="s">
        <v>45</v>
      </c>
      <c r="C171" s="60">
        <v>1982</v>
      </c>
      <c r="D171" s="60" t="s">
        <v>46</v>
      </c>
      <c r="E171" s="56" t="s">
        <v>49</v>
      </c>
      <c r="F171" s="54" t="s">
        <v>50</v>
      </c>
      <c r="G171" s="54" t="s">
        <v>51</v>
      </c>
      <c r="H171" s="54" t="s">
        <v>23</v>
      </c>
      <c r="I171" s="54"/>
      <c r="J171" s="54" t="s">
        <v>1013</v>
      </c>
      <c r="K171" s="54" t="s">
        <v>1134</v>
      </c>
      <c r="L171" s="54" t="s">
        <v>52</v>
      </c>
      <c r="M171" s="54"/>
      <c r="N171" s="54"/>
      <c r="O171" s="54" t="s">
        <v>67</v>
      </c>
      <c r="P171" s="54">
        <v>0.9</v>
      </c>
      <c r="Q171" s="54"/>
      <c r="R171" s="54">
        <f>+P171</f>
        <v>0.9</v>
      </c>
      <c r="S171" s="54"/>
      <c r="T171" s="54"/>
      <c r="U171" s="54"/>
      <c r="V171" s="54">
        <v>1644</v>
      </c>
      <c r="W171" s="54"/>
      <c r="X171" s="66">
        <f t="shared" si="6"/>
        <v>0.9</v>
      </c>
      <c r="Y171" s="72">
        <f>+V171</f>
        <v>1644</v>
      </c>
      <c r="Z171" s="192" t="str">
        <f>IF(X171&lt;&gt;"",IF(X171&lt;0.9,"S","F"),"")</f>
        <v>F</v>
      </c>
      <c r="AA171" s="172" t="s">
        <v>1397</v>
      </c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</row>
    <row r="172" spans="1:38" s="45" customFormat="1">
      <c r="A172" s="53">
        <v>46</v>
      </c>
      <c r="B172" s="60" t="s">
        <v>45</v>
      </c>
      <c r="C172" s="60">
        <v>1984</v>
      </c>
      <c r="D172" s="60" t="s">
        <v>113</v>
      </c>
      <c r="E172" s="56" t="s">
        <v>49</v>
      </c>
      <c r="F172" s="54">
        <v>1983</v>
      </c>
      <c r="G172" s="54" t="s">
        <v>116</v>
      </c>
      <c r="H172" s="54" t="s">
        <v>95</v>
      </c>
      <c r="I172" s="54"/>
      <c r="J172" s="54" t="s">
        <v>1013</v>
      </c>
      <c r="K172" s="54" t="s">
        <v>1134</v>
      </c>
      <c r="L172" s="54" t="s">
        <v>117</v>
      </c>
      <c r="M172" s="54"/>
      <c r="N172" s="54"/>
      <c r="O172" s="54" t="s">
        <v>131</v>
      </c>
      <c r="P172" s="54"/>
      <c r="Q172" s="54"/>
      <c r="R172" s="54">
        <v>0.9</v>
      </c>
      <c r="S172" s="54"/>
      <c r="T172" s="54"/>
      <c r="U172" s="54"/>
      <c r="V172" s="54"/>
      <c r="W172" s="54"/>
      <c r="X172" s="66">
        <f t="shared" si="6"/>
        <v>0.9</v>
      </c>
      <c r="Y172" s="72">
        <v>1659</v>
      </c>
      <c r="Z172" s="192" t="str">
        <f>IF(X172&lt;&gt;"",IF(X172&lt;0.9,"S","F"),"")</f>
        <v>F</v>
      </c>
      <c r="AA172" s="172" t="s">
        <v>1397</v>
      </c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</row>
    <row r="173" spans="1:38" s="45" customFormat="1">
      <c r="A173" s="53">
        <v>35</v>
      </c>
      <c r="B173" s="60" t="s">
        <v>45</v>
      </c>
      <c r="C173" s="60">
        <v>1982</v>
      </c>
      <c r="D173" s="60" t="s">
        <v>46</v>
      </c>
      <c r="E173" s="56" t="s">
        <v>49</v>
      </c>
      <c r="F173" s="54" t="s">
        <v>50</v>
      </c>
      <c r="G173" s="54" t="s">
        <v>51</v>
      </c>
      <c r="H173" s="54" t="s">
        <v>23</v>
      </c>
      <c r="I173" s="54"/>
      <c r="J173" s="54" t="s">
        <v>1013</v>
      </c>
      <c r="K173" s="54" t="s">
        <v>1134</v>
      </c>
      <c r="L173" s="54" t="s">
        <v>52</v>
      </c>
      <c r="M173" s="54"/>
      <c r="N173" s="54"/>
      <c r="O173" s="54" t="s">
        <v>66</v>
      </c>
      <c r="P173" s="54"/>
      <c r="Q173" s="54"/>
      <c r="R173" s="54"/>
      <c r="S173" s="54"/>
      <c r="T173" s="54"/>
      <c r="U173" s="54"/>
      <c r="V173" s="54"/>
      <c r="W173" s="54"/>
      <c r="X173" s="66" t="str">
        <f t="shared" si="6"/>
        <v/>
      </c>
      <c r="Y173" s="72">
        <v>1371</v>
      </c>
      <c r="Z173" s="192" t="s">
        <v>1193</v>
      </c>
      <c r="AA173" s="172" t="s">
        <v>1397</v>
      </c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</row>
    <row r="174" spans="1:38" s="45" customFormat="1">
      <c r="A174" s="53">
        <v>35</v>
      </c>
      <c r="B174" s="60" t="s">
        <v>45</v>
      </c>
      <c r="C174" s="60">
        <v>1982</v>
      </c>
      <c r="D174" s="60" t="s">
        <v>46</v>
      </c>
      <c r="E174" s="56" t="s">
        <v>49</v>
      </c>
      <c r="F174" s="54" t="s">
        <v>50</v>
      </c>
      <c r="G174" s="54" t="s">
        <v>51</v>
      </c>
      <c r="H174" s="54" t="s">
        <v>23</v>
      </c>
      <c r="I174" s="54"/>
      <c r="J174" s="54" t="s">
        <v>1013</v>
      </c>
      <c r="K174" s="54" t="s">
        <v>1134</v>
      </c>
      <c r="L174" s="54" t="s">
        <v>52</v>
      </c>
      <c r="M174" s="54"/>
      <c r="N174" s="54"/>
      <c r="O174" s="54" t="s">
        <v>64</v>
      </c>
      <c r="P174" s="54"/>
      <c r="Q174" s="54"/>
      <c r="R174" s="54"/>
      <c r="S174" s="54"/>
      <c r="T174" s="54"/>
      <c r="U174" s="54"/>
      <c r="V174" s="54"/>
      <c r="W174" s="54"/>
      <c r="X174" s="66" t="str">
        <f t="shared" si="6"/>
        <v/>
      </c>
      <c r="Y174" s="72">
        <v>1394</v>
      </c>
      <c r="Z174" s="192" t="s">
        <v>1193</v>
      </c>
      <c r="AA174" s="172" t="s">
        <v>1397</v>
      </c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</row>
    <row r="175" spans="1:38" s="45" customFormat="1">
      <c r="A175" s="53">
        <v>35</v>
      </c>
      <c r="B175" s="60" t="s">
        <v>45</v>
      </c>
      <c r="C175" s="60">
        <v>1982</v>
      </c>
      <c r="D175" s="60" t="s">
        <v>46</v>
      </c>
      <c r="E175" s="56" t="s">
        <v>49</v>
      </c>
      <c r="F175" s="54" t="s">
        <v>50</v>
      </c>
      <c r="G175" s="54" t="s">
        <v>51</v>
      </c>
      <c r="H175" s="54" t="s">
        <v>23</v>
      </c>
      <c r="I175" s="54"/>
      <c r="J175" s="54" t="s">
        <v>1013</v>
      </c>
      <c r="K175" s="54" t="s">
        <v>1134</v>
      </c>
      <c r="L175" s="54" t="s">
        <v>52</v>
      </c>
      <c r="M175" s="54"/>
      <c r="N175" s="54"/>
      <c r="O175" s="54" t="s">
        <v>61</v>
      </c>
      <c r="P175" s="54"/>
      <c r="Q175" s="54"/>
      <c r="R175" s="54"/>
      <c r="S175" s="54"/>
      <c r="T175" s="54"/>
      <c r="U175" s="54"/>
      <c r="V175" s="54"/>
      <c r="W175" s="54"/>
      <c r="X175" s="66" t="str">
        <f t="shared" si="6"/>
        <v/>
      </c>
      <c r="Y175" s="72">
        <v>1401</v>
      </c>
      <c r="Z175" s="192" t="s">
        <v>1193</v>
      </c>
      <c r="AA175" s="172" t="s">
        <v>1397</v>
      </c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</row>
    <row r="176" spans="1:38" s="45" customFormat="1">
      <c r="A176" s="53">
        <v>35</v>
      </c>
      <c r="B176" s="60" t="s">
        <v>45</v>
      </c>
      <c r="C176" s="60">
        <v>1982</v>
      </c>
      <c r="D176" s="60" t="s">
        <v>46</v>
      </c>
      <c r="E176" s="56" t="s">
        <v>49</v>
      </c>
      <c r="F176" s="54" t="s">
        <v>50</v>
      </c>
      <c r="G176" s="54" t="s">
        <v>51</v>
      </c>
      <c r="H176" s="54" t="s">
        <v>23</v>
      </c>
      <c r="I176" s="54"/>
      <c r="J176" s="54" t="s">
        <v>1013</v>
      </c>
      <c r="K176" s="54" t="s">
        <v>1134</v>
      </c>
      <c r="L176" s="54" t="s">
        <v>52</v>
      </c>
      <c r="M176" s="54"/>
      <c r="N176" s="54"/>
      <c r="O176" s="54" t="s">
        <v>58</v>
      </c>
      <c r="P176" s="54"/>
      <c r="Q176" s="54"/>
      <c r="R176" s="54"/>
      <c r="S176" s="54"/>
      <c r="T176" s="54"/>
      <c r="U176" s="54"/>
      <c r="V176" s="54"/>
      <c r="W176" s="54"/>
      <c r="X176" s="66" t="str">
        <f t="shared" si="6"/>
        <v/>
      </c>
      <c r="Y176" s="72">
        <v>1409</v>
      </c>
      <c r="Z176" s="192" t="s">
        <v>1193</v>
      </c>
      <c r="AA176" s="172" t="s">
        <v>1397</v>
      </c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</row>
    <row r="177" spans="1:38" s="45" customFormat="1">
      <c r="A177" s="53">
        <v>35</v>
      </c>
      <c r="B177" s="60" t="s">
        <v>45</v>
      </c>
      <c r="C177" s="60">
        <v>1982</v>
      </c>
      <c r="D177" s="60" t="s">
        <v>46</v>
      </c>
      <c r="E177" s="56" t="s">
        <v>49</v>
      </c>
      <c r="F177" s="54" t="s">
        <v>50</v>
      </c>
      <c r="G177" s="54" t="s">
        <v>51</v>
      </c>
      <c r="H177" s="54" t="s">
        <v>23</v>
      </c>
      <c r="I177" s="54"/>
      <c r="J177" s="54" t="s">
        <v>1013</v>
      </c>
      <c r="K177" s="54" t="s">
        <v>1134</v>
      </c>
      <c r="L177" s="54" t="s">
        <v>52</v>
      </c>
      <c r="M177" s="54"/>
      <c r="N177" s="54"/>
      <c r="O177" s="54" t="s">
        <v>65</v>
      </c>
      <c r="P177" s="54"/>
      <c r="Q177" s="54"/>
      <c r="R177" s="54"/>
      <c r="S177" s="54"/>
      <c r="T177" s="54"/>
      <c r="U177" s="54"/>
      <c r="V177" s="54"/>
      <c r="W177" s="54"/>
      <c r="X177" s="66" t="str">
        <f t="shared" si="6"/>
        <v/>
      </c>
      <c r="Y177" s="72">
        <v>1413</v>
      </c>
      <c r="Z177" s="192" t="s">
        <v>1193</v>
      </c>
      <c r="AA177" s="172" t="s">
        <v>1397</v>
      </c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</row>
    <row r="178" spans="1:38" s="45" customFormat="1">
      <c r="A178" s="53">
        <v>35</v>
      </c>
      <c r="B178" s="60" t="s">
        <v>45</v>
      </c>
      <c r="C178" s="60">
        <v>1982</v>
      </c>
      <c r="D178" s="60" t="s">
        <v>46</v>
      </c>
      <c r="E178" s="56" t="s">
        <v>49</v>
      </c>
      <c r="F178" s="54" t="s">
        <v>50</v>
      </c>
      <c r="G178" s="54" t="s">
        <v>51</v>
      </c>
      <c r="H178" s="54" t="s">
        <v>23</v>
      </c>
      <c r="I178" s="54"/>
      <c r="J178" s="54" t="s">
        <v>1013</v>
      </c>
      <c r="K178" s="54" t="s">
        <v>1134</v>
      </c>
      <c r="L178" s="54" t="s">
        <v>52</v>
      </c>
      <c r="M178" s="54"/>
      <c r="N178" s="54"/>
      <c r="O178" s="54" t="s">
        <v>60</v>
      </c>
      <c r="P178" s="54"/>
      <c r="Q178" s="54"/>
      <c r="R178" s="54"/>
      <c r="S178" s="54"/>
      <c r="T178" s="54"/>
      <c r="U178" s="54"/>
      <c r="V178" s="54"/>
      <c r="W178" s="54"/>
      <c r="X178" s="66" t="str">
        <f t="shared" si="6"/>
        <v/>
      </c>
      <c r="Y178" s="72">
        <v>1425</v>
      </c>
      <c r="Z178" s="192" t="s">
        <v>1193</v>
      </c>
      <c r="AA178" s="172" t="s">
        <v>1397</v>
      </c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</row>
    <row r="179" spans="1:38" s="45" customFormat="1">
      <c r="A179" s="53">
        <v>35</v>
      </c>
      <c r="B179" s="60" t="s">
        <v>45</v>
      </c>
      <c r="C179" s="60">
        <v>1982</v>
      </c>
      <c r="D179" s="60" t="s">
        <v>46</v>
      </c>
      <c r="E179" s="56" t="s">
        <v>49</v>
      </c>
      <c r="F179" s="54" t="s">
        <v>50</v>
      </c>
      <c r="G179" s="54" t="s">
        <v>51</v>
      </c>
      <c r="H179" s="54" t="s">
        <v>23</v>
      </c>
      <c r="I179" s="54"/>
      <c r="J179" s="54" t="s">
        <v>1013</v>
      </c>
      <c r="K179" s="54" t="s">
        <v>1134</v>
      </c>
      <c r="L179" s="54" t="s">
        <v>52</v>
      </c>
      <c r="M179" s="54"/>
      <c r="N179" s="54"/>
      <c r="O179" s="54" t="s">
        <v>59</v>
      </c>
      <c r="P179" s="54"/>
      <c r="Q179" s="54"/>
      <c r="R179" s="54"/>
      <c r="S179" s="54"/>
      <c r="T179" s="54"/>
      <c r="U179" s="54"/>
      <c r="V179" s="54"/>
      <c r="W179" s="54"/>
      <c r="X179" s="66" t="str">
        <f t="shared" si="6"/>
        <v/>
      </c>
      <c r="Y179" s="72">
        <v>1439</v>
      </c>
      <c r="Z179" s="192" t="s">
        <v>1193</v>
      </c>
      <c r="AA179" s="172" t="s">
        <v>1397</v>
      </c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</row>
    <row r="180" spans="1:38" s="45" customFormat="1">
      <c r="A180" s="53">
        <v>35</v>
      </c>
      <c r="B180" s="60" t="s">
        <v>45</v>
      </c>
      <c r="C180" s="60">
        <v>1982</v>
      </c>
      <c r="D180" s="60" t="s">
        <v>46</v>
      </c>
      <c r="E180" s="56" t="s">
        <v>49</v>
      </c>
      <c r="F180" s="54" t="s">
        <v>50</v>
      </c>
      <c r="G180" s="54" t="s">
        <v>51</v>
      </c>
      <c r="H180" s="54" t="s">
        <v>23</v>
      </c>
      <c r="I180" s="54"/>
      <c r="J180" s="54" t="s">
        <v>1013</v>
      </c>
      <c r="K180" s="54" t="s">
        <v>1134</v>
      </c>
      <c r="L180" s="54" t="s">
        <v>52</v>
      </c>
      <c r="M180" s="54"/>
      <c r="N180" s="54"/>
      <c r="O180" s="54" t="s">
        <v>62</v>
      </c>
      <c r="P180" s="54"/>
      <c r="Q180" s="54"/>
      <c r="R180" s="54"/>
      <c r="S180" s="54"/>
      <c r="T180" s="54"/>
      <c r="U180" s="54"/>
      <c r="V180" s="54"/>
      <c r="W180" s="54"/>
      <c r="X180" s="66" t="str">
        <f t="shared" si="6"/>
        <v/>
      </c>
      <c r="Y180" s="72">
        <v>1451</v>
      </c>
      <c r="Z180" s="192" t="s">
        <v>1193</v>
      </c>
      <c r="AA180" s="172" t="s">
        <v>1397</v>
      </c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</row>
    <row r="181" spans="1:38" s="45" customFormat="1">
      <c r="A181" s="53">
        <v>35</v>
      </c>
      <c r="B181" s="60" t="s">
        <v>45</v>
      </c>
      <c r="C181" s="60">
        <v>1982</v>
      </c>
      <c r="D181" s="60" t="s">
        <v>46</v>
      </c>
      <c r="E181" s="56" t="s">
        <v>49</v>
      </c>
      <c r="F181" s="54" t="s">
        <v>50</v>
      </c>
      <c r="G181" s="54" t="s">
        <v>51</v>
      </c>
      <c r="H181" s="54" t="s">
        <v>23</v>
      </c>
      <c r="I181" s="54"/>
      <c r="J181" s="54" t="s">
        <v>1013</v>
      </c>
      <c r="K181" s="54" t="s">
        <v>1134</v>
      </c>
      <c r="L181" s="54" t="s">
        <v>52</v>
      </c>
      <c r="M181" s="54"/>
      <c r="N181" s="54"/>
      <c r="O181" s="54" t="s">
        <v>63</v>
      </c>
      <c r="P181" s="54"/>
      <c r="Q181" s="54"/>
      <c r="R181" s="54"/>
      <c r="S181" s="54"/>
      <c r="T181" s="54"/>
      <c r="U181" s="54"/>
      <c r="V181" s="54"/>
      <c r="W181" s="54"/>
      <c r="X181" s="66" t="str">
        <f t="shared" si="6"/>
        <v/>
      </c>
      <c r="Y181" s="72">
        <v>1503</v>
      </c>
      <c r="Z181" s="192" t="s">
        <v>1193</v>
      </c>
      <c r="AA181" s="172" t="s">
        <v>1397</v>
      </c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</row>
    <row r="182" spans="1:38" s="45" customFormat="1">
      <c r="A182" s="53">
        <v>37</v>
      </c>
      <c r="B182" s="60" t="s">
        <v>45</v>
      </c>
      <c r="C182" s="60">
        <v>1982</v>
      </c>
      <c r="D182" s="60" t="s">
        <v>92</v>
      </c>
      <c r="E182" s="56" t="s">
        <v>49</v>
      </c>
      <c r="F182" s="54">
        <v>1989</v>
      </c>
      <c r="G182" s="54" t="s">
        <v>94</v>
      </c>
      <c r="H182" s="54" t="s">
        <v>95</v>
      </c>
      <c r="I182" s="54"/>
      <c r="J182" s="54" t="s">
        <v>1013</v>
      </c>
      <c r="K182" s="54" t="s">
        <v>1134</v>
      </c>
      <c r="L182" s="54" t="s">
        <v>96</v>
      </c>
      <c r="M182" s="54"/>
      <c r="N182" s="54"/>
      <c r="O182" s="54" t="s">
        <v>101</v>
      </c>
      <c r="P182" s="54"/>
      <c r="Q182" s="54"/>
      <c r="R182" s="54"/>
      <c r="S182" s="54"/>
      <c r="T182" s="54"/>
      <c r="U182" s="54"/>
      <c r="V182" s="54"/>
      <c r="W182" s="54">
        <v>1329</v>
      </c>
      <c r="X182" s="66" t="str">
        <f t="shared" si="6"/>
        <v/>
      </c>
      <c r="Y182" s="72">
        <f>+W182</f>
        <v>1329</v>
      </c>
      <c r="Z182" s="192" t="s">
        <v>1193</v>
      </c>
      <c r="AA182" s="172" t="s">
        <v>1397</v>
      </c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</row>
    <row r="183" spans="1:38" s="45" customFormat="1">
      <c r="A183" s="53">
        <v>37</v>
      </c>
      <c r="B183" s="60" t="s">
        <v>45</v>
      </c>
      <c r="C183" s="60">
        <v>1982</v>
      </c>
      <c r="D183" s="60" t="s">
        <v>92</v>
      </c>
      <c r="E183" s="56" t="s">
        <v>49</v>
      </c>
      <c r="F183" s="54">
        <v>1989</v>
      </c>
      <c r="G183" s="54" t="s">
        <v>94</v>
      </c>
      <c r="H183" s="54" t="s">
        <v>95</v>
      </c>
      <c r="I183" s="54"/>
      <c r="J183" s="54" t="s">
        <v>1013</v>
      </c>
      <c r="K183" s="54" t="s">
        <v>1134</v>
      </c>
      <c r="L183" s="54" t="s">
        <v>96</v>
      </c>
      <c r="M183" s="54"/>
      <c r="N183" s="54"/>
      <c r="O183" s="54" t="s">
        <v>102</v>
      </c>
      <c r="P183" s="54"/>
      <c r="Q183" s="54"/>
      <c r="R183" s="54"/>
      <c r="S183" s="54"/>
      <c r="T183" s="54"/>
      <c r="U183" s="54"/>
      <c r="V183" s="54"/>
      <c r="W183" s="54">
        <v>1504</v>
      </c>
      <c r="X183" s="66" t="str">
        <f t="shared" si="6"/>
        <v/>
      </c>
      <c r="Y183" s="72">
        <f>+W183</f>
        <v>1504</v>
      </c>
      <c r="Z183" s="192" t="s">
        <v>1193</v>
      </c>
      <c r="AA183" s="172" t="s">
        <v>1397</v>
      </c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</row>
    <row r="184" spans="1:38" s="45" customFormat="1">
      <c r="A184" s="53">
        <v>46</v>
      </c>
      <c r="B184" s="60" t="s">
        <v>45</v>
      </c>
      <c r="C184" s="60">
        <v>1984</v>
      </c>
      <c r="D184" s="60" t="s">
        <v>113</v>
      </c>
      <c r="E184" s="56" t="s">
        <v>49</v>
      </c>
      <c r="F184" s="54">
        <v>1983</v>
      </c>
      <c r="G184" s="54" t="s">
        <v>116</v>
      </c>
      <c r="H184" s="54" t="s">
        <v>95</v>
      </c>
      <c r="I184" s="54"/>
      <c r="J184" s="54" t="s">
        <v>1013</v>
      </c>
      <c r="K184" s="54" t="s">
        <v>1134</v>
      </c>
      <c r="L184" s="54" t="s">
        <v>117</v>
      </c>
      <c r="M184" s="54"/>
      <c r="N184" s="54"/>
      <c r="O184" s="54" t="s">
        <v>123</v>
      </c>
      <c r="P184" s="54"/>
      <c r="Q184" s="54"/>
      <c r="R184" s="54">
        <v>0.89</v>
      </c>
      <c r="S184" s="54"/>
      <c r="T184" s="54"/>
      <c r="U184" s="54"/>
      <c r="V184" s="54"/>
      <c r="W184" s="54"/>
      <c r="X184" s="66">
        <f t="shared" si="6"/>
        <v>0.89</v>
      </c>
      <c r="Y184" s="72">
        <v>1625</v>
      </c>
      <c r="Z184" s="192" t="str">
        <f t="shared" ref="Z184:Z207" si="8">IF(X184&lt;&gt;"",IF(X184&lt;0.9,"S","F"),"")</f>
        <v>S</v>
      </c>
      <c r="AA184" s="172" t="s">
        <v>1397</v>
      </c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</row>
    <row r="185" spans="1:38" s="45" customFormat="1">
      <c r="A185" s="53">
        <v>46</v>
      </c>
      <c r="B185" s="60" t="s">
        <v>45</v>
      </c>
      <c r="C185" s="60">
        <v>1984</v>
      </c>
      <c r="D185" s="60" t="s">
        <v>113</v>
      </c>
      <c r="E185" s="56" t="s">
        <v>49</v>
      </c>
      <c r="F185" s="54">
        <v>1983</v>
      </c>
      <c r="G185" s="54" t="s">
        <v>116</v>
      </c>
      <c r="H185" s="54" t="s">
        <v>95</v>
      </c>
      <c r="I185" s="54"/>
      <c r="J185" s="54" t="s">
        <v>1013</v>
      </c>
      <c r="K185" s="54" t="s">
        <v>1134</v>
      </c>
      <c r="L185" s="54" t="s">
        <v>117</v>
      </c>
      <c r="M185" s="54"/>
      <c r="N185" s="54"/>
      <c r="O185" s="54" t="s">
        <v>126</v>
      </c>
      <c r="P185" s="54"/>
      <c r="Q185" s="54"/>
      <c r="R185" s="54">
        <v>0.89</v>
      </c>
      <c r="S185" s="54"/>
      <c r="T185" s="54"/>
      <c r="U185" s="54"/>
      <c r="V185" s="54"/>
      <c r="W185" s="54"/>
      <c r="X185" s="66">
        <f t="shared" si="6"/>
        <v>0.89</v>
      </c>
      <c r="Y185" s="72">
        <v>1635</v>
      </c>
      <c r="Z185" s="192" t="str">
        <f t="shared" si="8"/>
        <v>S</v>
      </c>
      <c r="AA185" s="172" t="s">
        <v>1397</v>
      </c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</row>
    <row r="186" spans="1:38" s="45" customFormat="1">
      <c r="A186" s="53">
        <v>46</v>
      </c>
      <c r="B186" s="60" t="s">
        <v>45</v>
      </c>
      <c r="C186" s="60">
        <v>1984</v>
      </c>
      <c r="D186" s="60" t="s">
        <v>113</v>
      </c>
      <c r="E186" s="56" t="s">
        <v>49</v>
      </c>
      <c r="F186" s="54">
        <v>1983</v>
      </c>
      <c r="G186" s="54" t="s">
        <v>116</v>
      </c>
      <c r="H186" s="54" t="s">
        <v>95</v>
      </c>
      <c r="I186" s="54"/>
      <c r="J186" s="54" t="s">
        <v>1013</v>
      </c>
      <c r="K186" s="54" t="s">
        <v>1134</v>
      </c>
      <c r="L186" s="54" t="s">
        <v>117</v>
      </c>
      <c r="M186" s="54"/>
      <c r="N186" s="54"/>
      <c r="O186" s="54" t="s">
        <v>121</v>
      </c>
      <c r="P186" s="54"/>
      <c r="Q186" s="54"/>
      <c r="R186" s="54">
        <v>0.88</v>
      </c>
      <c r="S186" s="54"/>
      <c r="T186" s="54"/>
      <c r="U186" s="54"/>
      <c r="V186" s="54"/>
      <c r="W186" s="54"/>
      <c r="X186" s="66">
        <f t="shared" si="6"/>
        <v>0.88</v>
      </c>
      <c r="Y186" s="72">
        <v>1632</v>
      </c>
      <c r="Z186" s="192" t="str">
        <f t="shared" si="8"/>
        <v>S</v>
      </c>
      <c r="AA186" s="172" t="s">
        <v>1397</v>
      </c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</row>
    <row r="187" spans="1:38" s="45" customFormat="1">
      <c r="A187" s="53">
        <v>46</v>
      </c>
      <c r="B187" s="60" t="s">
        <v>45</v>
      </c>
      <c r="C187" s="60">
        <v>1984</v>
      </c>
      <c r="D187" s="60" t="s">
        <v>113</v>
      </c>
      <c r="E187" s="56" t="s">
        <v>49</v>
      </c>
      <c r="F187" s="54">
        <v>1983</v>
      </c>
      <c r="G187" s="54" t="s">
        <v>116</v>
      </c>
      <c r="H187" s="54" t="s">
        <v>95</v>
      </c>
      <c r="I187" s="54"/>
      <c r="J187" s="54" t="s">
        <v>1013</v>
      </c>
      <c r="K187" s="54" t="s">
        <v>1134</v>
      </c>
      <c r="L187" s="54" t="s">
        <v>117</v>
      </c>
      <c r="M187" s="54"/>
      <c r="N187" s="54"/>
      <c r="O187" s="54" t="s">
        <v>128</v>
      </c>
      <c r="P187" s="54"/>
      <c r="Q187" s="54"/>
      <c r="R187" s="54">
        <v>0.85</v>
      </c>
      <c r="S187" s="54"/>
      <c r="T187" s="54"/>
      <c r="U187" s="54"/>
      <c r="V187" s="54"/>
      <c r="W187" s="54"/>
      <c r="X187" s="66">
        <f t="shared" si="6"/>
        <v>0.85</v>
      </c>
      <c r="Y187" s="72">
        <v>1555</v>
      </c>
      <c r="Z187" s="192" t="str">
        <f t="shared" si="8"/>
        <v>S</v>
      </c>
      <c r="AA187" s="172" t="s">
        <v>1397</v>
      </c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</row>
    <row r="188" spans="1:38" s="45" customFormat="1">
      <c r="A188" s="53">
        <v>35</v>
      </c>
      <c r="B188" s="60" t="s">
        <v>45</v>
      </c>
      <c r="C188" s="60">
        <v>1982</v>
      </c>
      <c r="D188" s="60" t="s">
        <v>46</v>
      </c>
      <c r="E188" s="56" t="s">
        <v>49</v>
      </c>
      <c r="F188" s="54" t="s">
        <v>50</v>
      </c>
      <c r="G188" s="54" t="s">
        <v>51</v>
      </c>
      <c r="H188" s="54" t="s">
        <v>23</v>
      </c>
      <c r="I188" s="54"/>
      <c r="J188" s="54" t="s">
        <v>1013</v>
      </c>
      <c r="K188" s="54" t="s">
        <v>1134</v>
      </c>
      <c r="L188" s="54" t="s">
        <v>52</v>
      </c>
      <c r="M188" s="54"/>
      <c r="N188" s="54"/>
      <c r="O188" s="54" t="s">
        <v>67</v>
      </c>
      <c r="P188" s="54"/>
      <c r="Q188" s="54">
        <v>0.84</v>
      </c>
      <c r="R188" s="54">
        <f>+Q188</f>
        <v>0.84</v>
      </c>
      <c r="S188" s="54"/>
      <c r="T188" s="54"/>
      <c r="U188" s="54"/>
      <c r="V188" s="54"/>
      <c r="W188" s="54">
        <v>1534</v>
      </c>
      <c r="X188" s="66">
        <f t="shared" si="6"/>
        <v>0.84</v>
      </c>
      <c r="Y188" s="72">
        <f>+W188</f>
        <v>1534</v>
      </c>
      <c r="Z188" s="192" t="str">
        <f t="shared" si="8"/>
        <v>S</v>
      </c>
      <c r="AA188" s="172" t="s">
        <v>1397</v>
      </c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</row>
    <row r="189" spans="1:38" s="45" customFormat="1">
      <c r="A189" s="53">
        <v>35</v>
      </c>
      <c r="B189" s="60" t="s">
        <v>45</v>
      </c>
      <c r="C189" s="60">
        <v>1982</v>
      </c>
      <c r="D189" s="60" t="s">
        <v>46</v>
      </c>
      <c r="E189" s="56" t="s">
        <v>49</v>
      </c>
      <c r="F189" s="54" t="s">
        <v>50</v>
      </c>
      <c r="G189" s="54" t="s">
        <v>51</v>
      </c>
      <c r="H189" s="54" t="s">
        <v>23</v>
      </c>
      <c r="I189" s="54"/>
      <c r="J189" s="54" t="s">
        <v>1013</v>
      </c>
      <c r="K189" s="54" t="s">
        <v>1134</v>
      </c>
      <c r="L189" s="54" t="s">
        <v>52</v>
      </c>
      <c r="M189" s="54"/>
      <c r="N189" s="54"/>
      <c r="O189" s="54" t="s">
        <v>71</v>
      </c>
      <c r="P189" s="54">
        <v>0.84</v>
      </c>
      <c r="Q189" s="54"/>
      <c r="R189" s="54">
        <f>+P189</f>
        <v>0.84</v>
      </c>
      <c r="S189" s="54"/>
      <c r="T189" s="54"/>
      <c r="U189" s="54"/>
      <c r="V189" s="54">
        <v>1538</v>
      </c>
      <c r="W189" s="54"/>
      <c r="X189" s="66">
        <f t="shared" si="6"/>
        <v>0.84</v>
      </c>
      <c r="Y189" s="72">
        <f>+V189</f>
        <v>1538</v>
      </c>
      <c r="Z189" s="192" t="str">
        <f t="shared" si="8"/>
        <v>S</v>
      </c>
      <c r="AA189" s="172" t="s">
        <v>1397</v>
      </c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</row>
    <row r="190" spans="1:38" s="45" customFormat="1">
      <c r="A190" s="53">
        <v>46</v>
      </c>
      <c r="B190" s="60" t="s">
        <v>45</v>
      </c>
      <c r="C190" s="60">
        <v>1984</v>
      </c>
      <c r="D190" s="60" t="s">
        <v>113</v>
      </c>
      <c r="E190" s="56" t="s">
        <v>49</v>
      </c>
      <c r="F190" s="54">
        <v>1983</v>
      </c>
      <c r="G190" s="54" t="s">
        <v>116</v>
      </c>
      <c r="H190" s="54" t="s">
        <v>95</v>
      </c>
      <c r="I190" s="54"/>
      <c r="J190" s="54" t="s">
        <v>1013</v>
      </c>
      <c r="K190" s="54" t="s">
        <v>1134</v>
      </c>
      <c r="L190" s="54" t="s">
        <v>117</v>
      </c>
      <c r="M190" s="54"/>
      <c r="N190" s="54"/>
      <c r="O190" s="54" t="s">
        <v>132</v>
      </c>
      <c r="P190" s="54"/>
      <c r="Q190" s="54"/>
      <c r="R190" s="54">
        <v>0.81</v>
      </c>
      <c r="S190" s="54"/>
      <c r="T190" s="54"/>
      <c r="U190" s="54"/>
      <c r="V190" s="54"/>
      <c r="W190" s="54"/>
      <c r="X190" s="66">
        <f t="shared" si="6"/>
        <v>0.81</v>
      </c>
      <c r="Y190" s="72">
        <v>1483</v>
      </c>
      <c r="Z190" s="192" t="str">
        <f t="shared" si="8"/>
        <v>S</v>
      </c>
      <c r="AA190" s="172" t="s">
        <v>1397</v>
      </c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</row>
    <row r="191" spans="1:38" s="45" customFormat="1">
      <c r="A191" s="53">
        <v>46</v>
      </c>
      <c r="B191" s="60" t="s">
        <v>45</v>
      </c>
      <c r="C191" s="60">
        <v>1984</v>
      </c>
      <c r="D191" s="60" t="s">
        <v>113</v>
      </c>
      <c r="E191" s="56" t="s">
        <v>49</v>
      </c>
      <c r="F191" s="54">
        <v>1983</v>
      </c>
      <c r="G191" s="54" t="s">
        <v>116</v>
      </c>
      <c r="H191" s="54" t="s">
        <v>95</v>
      </c>
      <c r="I191" s="54"/>
      <c r="J191" s="54" t="s">
        <v>1013</v>
      </c>
      <c r="K191" s="54" t="s">
        <v>1134</v>
      </c>
      <c r="L191" s="54" t="s">
        <v>117</v>
      </c>
      <c r="M191" s="54"/>
      <c r="N191" s="54"/>
      <c r="O191" s="54" t="s">
        <v>130</v>
      </c>
      <c r="P191" s="54"/>
      <c r="Q191" s="54"/>
      <c r="R191" s="54">
        <v>0.8</v>
      </c>
      <c r="S191" s="54"/>
      <c r="T191" s="54"/>
      <c r="U191" s="54"/>
      <c r="V191" s="54"/>
      <c r="W191" s="54"/>
      <c r="X191" s="66">
        <f t="shared" si="6"/>
        <v>0.8</v>
      </c>
      <c r="Y191" s="72">
        <v>1458</v>
      </c>
      <c r="Z191" s="192" t="str">
        <f t="shared" si="8"/>
        <v>S</v>
      </c>
      <c r="AA191" s="172" t="s">
        <v>1397</v>
      </c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</row>
    <row r="192" spans="1:38" s="45" customFormat="1">
      <c r="A192" s="53">
        <v>46</v>
      </c>
      <c r="B192" s="60" t="s">
        <v>45</v>
      </c>
      <c r="C192" s="60">
        <v>1984</v>
      </c>
      <c r="D192" s="60" t="s">
        <v>113</v>
      </c>
      <c r="E192" s="56" t="s">
        <v>49</v>
      </c>
      <c r="F192" s="54">
        <v>1983</v>
      </c>
      <c r="G192" s="54" t="s">
        <v>116</v>
      </c>
      <c r="H192" s="54" t="s">
        <v>95</v>
      </c>
      <c r="I192" s="54"/>
      <c r="J192" s="54" t="s">
        <v>1013</v>
      </c>
      <c r="K192" s="54" t="s">
        <v>1134</v>
      </c>
      <c r="L192" s="54" t="s">
        <v>117</v>
      </c>
      <c r="M192" s="54"/>
      <c r="N192" s="54"/>
      <c r="O192" s="54" t="s">
        <v>120</v>
      </c>
      <c r="P192" s="54"/>
      <c r="Q192" s="54"/>
      <c r="R192" s="54">
        <v>0.8</v>
      </c>
      <c r="S192" s="54"/>
      <c r="T192" s="54"/>
      <c r="U192" s="54"/>
      <c r="V192" s="54"/>
      <c r="W192" s="54"/>
      <c r="X192" s="66">
        <f t="shared" si="6"/>
        <v>0.8</v>
      </c>
      <c r="Y192" s="72">
        <v>1468</v>
      </c>
      <c r="Z192" s="192" t="str">
        <f t="shared" si="8"/>
        <v>S</v>
      </c>
      <c r="AA192" s="172" t="s">
        <v>1397</v>
      </c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</row>
    <row r="193" spans="1:38" s="45" customFormat="1">
      <c r="A193" s="53">
        <v>46</v>
      </c>
      <c r="B193" s="60" t="s">
        <v>45</v>
      </c>
      <c r="C193" s="60">
        <v>1984</v>
      </c>
      <c r="D193" s="60" t="s">
        <v>113</v>
      </c>
      <c r="E193" s="56" t="s">
        <v>49</v>
      </c>
      <c r="F193" s="54">
        <v>1983</v>
      </c>
      <c r="G193" s="54" t="s">
        <v>116</v>
      </c>
      <c r="H193" s="54" t="s">
        <v>95</v>
      </c>
      <c r="I193" s="54"/>
      <c r="J193" s="54" t="s">
        <v>1013</v>
      </c>
      <c r="K193" s="54" t="s">
        <v>1134</v>
      </c>
      <c r="L193" s="54" t="s">
        <v>117</v>
      </c>
      <c r="M193" s="54"/>
      <c r="N193" s="54"/>
      <c r="O193" s="54" t="s">
        <v>122</v>
      </c>
      <c r="P193" s="54"/>
      <c r="Q193" s="54"/>
      <c r="R193" s="54">
        <v>0.79</v>
      </c>
      <c r="S193" s="54"/>
      <c r="T193" s="54"/>
      <c r="U193" s="54"/>
      <c r="V193" s="54"/>
      <c r="W193" s="54"/>
      <c r="X193" s="66">
        <f t="shared" si="6"/>
        <v>0.79</v>
      </c>
      <c r="Y193" s="72">
        <v>1455</v>
      </c>
      <c r="Z193" s="192" t="str">
        <f t="shared" si="8"/>
        <v>S</v>
      </c>
      <c r="AA193" s="172" t="s">
        <v>1397</v>
      </c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</row>
    <row r="194" spans="1:38" s="45" customFormat="1">
      <c r="A194" s="53">
        <v>35</v>
      </c>
      <c r="B194" s="60" t="s">
        <v>45</v>
      </c>
      <c r="C194" s="60">
        <v>1982</v>
      </c>
      <c r="D194" s="60" t="s">
        <v>46</v>
      </c>
      <c r="E194" s="56" t="s">
        <v>49</v>
      </c>
      <c r="F194" s="54" t="s">
        <v>50</v>
      </c>
      <c r="G194" s="54" t="s">
        <v>51</v>
      </c>
      <c r="H194" s="54" t="s">
        <v>23</v>
      </c>
      <c r="I194" s="54"/>
      <c r="J194" s="54" t="s">
        <v>1013</v>
      </c>
      <c r="K194" s="54" t="s">
        <v>1134</v>
      </c>
      <c r="L194" s="54" t="s">
        <v>52</v>
      </c>
      <c r="M194" s="54"/>
      <c r="N194" s="54"/>
      <c r="O194" s="54" t="s">
        <v>70</v>
      </c>
      <c r="P194" s="54"/>
      <c r="Q194" s="54">
        <v>0.78</v>
      </c>
      <c r="R194" s="54">
        <f>+Q194</f>
        <v>0.78</v>
      </c>
      <c r="S194" s="54"/>
      <c r="T194" s="54"/>
      <c r="U194" s="54"/>
      <c r="V194" s="54"/>
      <c r="W194" s="54">
        <v>1421</v>
      </c>
      <c r="X194" s="66">
        <f t="shared" ref="X194:X207" si="9">IF(R194&lt;&gt;0,IF(R194&gt;1,R194/100,R194),IF(U194&lt;&gt;0,IF(U194&gt;1,U194/100,U194),""))</f>
        <v>0.78</v>
      </c>
      <c r="Y194" s="72">
        <f>+W194</f>
        <v>1421</v>
      </c>
      <c r="Z194" s="192" t="str">
        <f t="shared" si="8"/>
        <v>S</v>
      </c>
      <c r="AA194" s="172" t="s">
        <v>1397</v>
      </c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</row>
    <row r="195" spans="1:38" s="45" customFormat="1">
      <c r="A195" s="53">
        <v>35</v>
      </c>
      <c r="B195" s="60" t="s">
        <v>45</v>
      </c>
      <c r="C195" s="60">
        <v>1982</v>
      </c>
      <c r="D195" s="60" t="s">
        <v>46</v>
      </c>
      <c r="E195" s="56" t="s">
        <v>49</v>
      </c>
      <c r="F195" s="54" t="s">
        <v>50</v>
      </c>
      <c r="G195" s="54" t="s">
        <v>51</v>
      </c>
      <c r="H195" s="54" t="s">
        <v>23</v>
      </c>
      <c r="I195" s="54"/>
      <c r="J195" s="54" t="s">
        <v>1013</v>
      </c>
      <c r="K195" s="54" t="s">
        <v>1134</v>
      </c>
      <c r="L195" s="54" t="s">
        <v>52</v>
      </c>
      <c r="M195" s="54"/>
      <c r="N195" s="54"/>
      <c r="O195" s="54" t="s">
        <v>69</v>
      </c>
      <c r="P195" s="54"/>
      <c r="Q195" s="54">
        <v>0.78</v>
      </c>
      <c r="R195" s="54">
        <f>+Q195</f>
        <v>0.78</v>
      </c>
      <c r="S195" s="54"/>
      <c r="T195" s="54"/>
      <c r="U195" s="54"/>
      <c r="V195" s="54"/>
      <c r="W195" s="54">
        <v>1423</v>
      </c>
      <c r="X195" s="66">
        <f t="shared" si="9"/>
        <v>0.78</v>
      </c>
      <c r="Y195" s="72">
        <f>+W195</f>
        <v>1423</v>
      </c>
      <c r="Z195" s="192" t="str">
        <f t="shared" si="8"/>
        <v>S</v>
      </c>
      <c r="AA195" s="172" t="s">
        <v>1397</v>
      </c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</row>
    <row r="196" spans="1:38" s="45" customFormat="1">
      <c r="A196" s="53">
        <v>46</v>
      </c>
      <c r="B196" s="60" t="s">
        <v>45</v>
      </c>
      <c r="C196" s="60">
        <v>1984</v>
      </c>
      <c r="D196" s="60" t="s">
        <v>113</v>
      </c>
      <c r="E196" s="56" t="s">
        <v>49</v>
      </c>
      <c r="F196" s="54">
        <v>1983</v>
      </c>
      <c r="G196" s="54" t="s">
        <v>116</v>
      </c>
      <c r="H196" s="54" t="s">
        <v>95</v>
      </c>
      <c r="I196" s="54"/>
      <c r="J196" s="54" t="s">
        <v>1013</v>
      </c>
      <c r="K196" s="54" t="s">
        <v>1134</v>
      </c>
      <c r="L196" s="54" t="s">
        <v>117</v>
      </c>
      <c r="M196" s="54"/>
      <c r="N196" s="54"/>
      <c r="O196" s="54" t="s">
        <v>129</v>
      </c>
      <c r="P196" s="54"/>
      <c r="Q196" s="54"/>
      <c r="R196" s="54">
        <v>0.77</v>
      </c>
      <c r="S196" s="54"/>
      <c r="T196" s="54"/>
      <c r="U196" s="54"/>
      <c r="V196" s="54"/>
      <c r="W196" s="54"/>
      <c r="X196" s="66">
        <f t="shared" si="9"/>
        <v>0.77</v>
      </c>
      <c r="Y196" s="72">
        <v>1403</v>
      </c>
      <c r="Z196" s="192" t="str">
        <f t="shared" si="8"/>
        <v>S</v>
      </c>
      <c r="AA196" s="172" t="s">
        <v>1397</v>
      </c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</row>
    <row r="197" spans="1:38" s="45" customFormat="1">
      <c r="A197" s="53">
        <v>46</v>
      </c>
      <c r="B197" s="60" t="s">
        <v>45</v>
      </c>
      <c r="C197" s="60">
        <v>1984</v>
      </c>
      <c r="D197" s="60" t="s">
        <v>113</v>
      </c>
      <c r="E197" s="56" t="s">
        <v>49</v>
      </c>
      <c r="F197" s="54">
        <v>1983</v>
      </c>
      <c r="G197" s="54" t="s">
        <v>116</v>
      </c>
      <c r="H197" s="54" t="s">
        <v>95</v>
      </c>
      <c r="I197" s="54"/>
      <c r="J197" s="54" t="s">
        <v>1013</v>
      </c>
      <c r="K197" s="54" t="s">
        <v>1134</v>
      </c>
      <c r="L197" s="54" t="s">
        <v>117</v>
      </c>
      <c r="M197" s="54"/>
      <c r="N197" s="54"/>
      <c r="O197" s="54" t="s">
        <v>125</v>
      </c>
      <c r="P197" s="54"/>
      <c r="Q197" s="54"/>
      <c r="R197" s="54">
        <v>0.77</v>
      </c>
      <c r="S197" s="54"/>
      <c r="T197" s="54"/>
      <c r="U197" s="54"/>
      <c r="V197" s="54"/>
      <c r="W197" s="54"/>
      <c r="X197" s="66">
        <f t="shared" si="9"/>
        <v>0.77</v>
      </c>
      <c r="Y197" s="72">
        <v>1413</v>
      </c>
      <c r="Z197" s="192" t="str">
        <f t="shared" si="8"/>
        <v>S</v>
      </c>
      <c r="AA197" s="172" t="s">
        <v>1397</v>
      </c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</row>
    <row r="198" spans="1:38" s="45" customFormat="1">
      <c r="A198" s="53">
        <v>46</v>
      </c>
      <c r="B198" s="60" t="s">
        <v>45</v>
      </c>
      <c r="C198" s="60">
        <v>1984</v>
      </c>
      <c r="D198" s="60" t="s">
        <v>113</v>
      </c>
      <c r="E198" s="56" t="s">
        <v>49</v>
      </c>
      <c r="F198" s="54">
        <v>1983</v>
      </c>
      <c r="G198" s="54" t="s">
        <v>116</v>
      </c>
      <c r="H198" s="54" t="s">
        <v>95</v>
      </c>
      <c r="I198" s="54"/>
      <c r="J198" s="54" t="s">
        <v>1013</v>
      </c>
      <c r="K198" s="54" t="s">
        <v>1134</v>
      </c>
      <c r="L198" s="54" t="s">
        <v>117</v>
      </c>
      <c r="M198" s="54"/>
      <c r="N198" s="54"/>
      <c r="O198" s="54" t="s">
        <v>124</v>
      </c>
      <c r="P198" s="54"/>
      <c r="Q198" s="54"/>
      <c r="R198" s="54">
        <v>0.76</v>
      </c>
      <c r="S198" s="54"/>
      <c r="T198" s="54"/>
      <c r="U198" s="54"/>
      <c r="V198" s="54"/>
      <c r="W198" s="54"/>
      <c r="X198" s="66">
        <f t="shared" si="9"/>
        <v>0.76</v>
      </c>
      <c r="Y198" s="72">
        <v>1427</v>
      </c>
      <c r="Z198" s="192" t="str">
        <f t="shared" si="8"/>
        <v>S</v>
      </c>
      <c r="AA198" s="172" t="s">
        <v>1397</v>
      </c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</row>
    <row r="199" spans="1:38" s="45" customFormat="1">
      <c r="A199" s="53">
        <v>35</v>
      </c>
      <c r="B199" s="60" t="s">
        <v>45</v>
      </c>
      <c r="C199" s="60">
        <v>1982</v>
      </c>
      <c r="D199" s="60" t="s">
        <v>46</v>
      </c>
      <c r="E199" s="56" t="s">
        <v>49</v>
      </c>
      <c r="F199" s="54" t="s">
        <v>50</v>
      </c>
      <c r="G199" s="54" t="s">
        <v>51</v>
      </c>
      <c r="H199" s="54" t="s">
        <v>23</v>
      </c>
      <c r="I199" s="54"/>
      <c r="J199" s="54" t="s">
        <v>1013</v>
      </c>
      <c r="K199" s="54" t="s">
        <v>1134</v>
      </c>
      <c r="L199" s="54" t="s">
        <v>52</v>
      </c>
      <c r="M199" s="54"/>
      <c r="N199" s="54"/>
      <c r="O199" s="54" t="s">
        <v>71</v>
      </c>
      <c r="P199" s="54"/>
      <c r="Q199" s="54">
        <v>0.74</v>
      </c>
      <c r="R199" s="54">
        <f>+Q199</f>
        <v>0.74</v>
      </c>
      <c r="S199" s="54"/>
      <c r="T199" s="54"/>
      <c r="U199" s="54"/>
      <c r="V199" s="54"/>
      <c r="W199" s="54">
        <v>1353</v>
      </c>
      <c r="X199" s="66">
        <f t="shared" si="9"/>
        <v>0.74</v>
      </c>
      <c r="Y199" s="72">
        <f>+W199</f>
        <v>1353</v>
      </c>
      <c r="Z199" s="192" t="str">
        <f t="shared" si="8"/>
        <v>S</v>
      </c>
      <c r="AA199" s="172" t="s">
        <v>1397</v>
      </c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</row>
    <row r="200" spans="1:38" s="45" customFormat="1">
      <c r="A200" s="53">
        <v>35</v>
      </c>
      <c r="B200" s="60" t="s">
        <v>45</v>
      </c>
      <c r="C200" s="60">
        <v>1982</v>
      </c>
      <c r="D200" s="60" t="s">
        <v>46</v>
      </c>
      <c r="E200" s="56" t="s">
        <v>49</v>
      </c>
      <c r="F200" s="54" t="s">
        <v>50</v>
      </c>
      <c r="G200" s="54" t="s">
        <v>51</v>
      </c>
      <c r="H200" s="54" t="s">
        <v>23</v>
      </c>
      <c r="I200" s="54"/>
      <c r="J200" s="54" t="s">
        <v>1013</v>
      </c>
      <c r="K200" s="54" t="s">
        <v>1134</v>
      </c>
      <c r="L200" s="54" t="s">
        <v>52</v>
      </c>
      <c r="M200" s="54"/>
      <c r="N200" s="54"/>
      <c r="O200" s="54" t="s">
        <v>68</v>
      </c>
      <c r="P200" s="54"/>
      <c r="Q200" s="54">
        <v>0.74</v>
      </c>
      <c r="R200" s="54">
        <f>+Q200</f>
        <v>0.74</v>
      </c>
      <c r="S200" s="54"/>
      <c r="T200" s="54"/>
      <c r="U200" s="54"/>
      <c r="V200" s="54"/>
      <c r="W200" s="54">
        <v>1360</v>
      </c>
      <c r="X200" s="66">
        <f t="shared" si="9"/>
        <v>0.74</v>
      </c>
      <c r="Y200" s="72">
        <f>+W200</f>
        <v>1360</v>
      </c>
      <c r="Z200" s="192" t="str">
        <f t="shared" si="8"/>
        <v>S</v>
      </c>
      <c r="AA200" s="172" t="s">
        <v>1397</v>
      </c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</row>
    <row r="201" spans="1:38" s="45" customFormat="1">
      <c r="A201" s="53">
        <v>46</v>
      </c>
      <c r="B201" s="60" t="s">
        <v>45</v>
      </c>
      <c r="C201" s="60">
        <v>1984</v>
      </c>
      <c r="D201" s="60" t="s">
        <v>113</v>
      </c>
      <c r="E201" s="56" t="s">
        <v>49</v>
      </c>
      <c r="F201" s="54">
        <v>1983</v>
      </c>
      <c r="G201" s="54" t="s">
        <v>116</v>
      </c>
      <c r="H201" s="54" t="s">
        <v>95</v>
      </c>
      <c r="I201" s="54"/>
      <c r="J201" s="54" t="s">
        <v>1013</v>
      </c>
      <c r="K201" s="54" t="s">
        <v>1134</v>
      </c>
      <c r="L201" s="54" t="s">
        <v>117</v>
      </c>
      <c r="M201" s="54"/>
      <c r="N201" s="54"/>
      <c r="O201" s="54" t="s">
        <v>127</v>
      </c>
      <c r="P201" s="54"/>
      <c r="Q201" s="54"/>
      <c r="R201" s="54">
        <v>0.74</v>
      </c>
      <c r="S201" s="54"/>
      <c r="T201" s="54"/>
      <c r="U201" s="54"/>
      <c r="V201" s="54"/>
      <c r="W201" s="54"/>
      <c r="X201" s="66">
        <f t="shared" si="9"/>
        <v>0.74</v>
      </c>
      <c r="Y201" s="72">
        <v>1364</v>
      </c>
      <c r="Z201" s="192" t="str">
        <f t="shared" si="8"/>
        <v>S</v>
      </c>
      <c r="AA201" s="172" t="s">
        <v>1397</v>
      </c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</row>
    <row r="202" spans="1:38" s="45" customFormat="1">
      <c r="A202" s="53">
        <v>35</v>
      </c>
      <c r="B202" s="60" t="s">
        <v>45</v>
      </c>
      <c r="C202" s="60">
        <v>1982</v>
      </c>
      <c r="D202" s="60" t="s">
        <v>46</v>
      </c>
      <c r="E202" s="56" t="s">
        <v>49</v>
      </c>
      <c r="F202" s="54" t="s">
        <v>50</v>
      </c>
      <c r="G202" s="54" t="s">
        <v>51</v>
      </c>
      <c r="H202" s="54" t="s">
        <v>23</v>
      </c>
      <c r="I202" s="54"/>
      <c r="J202" s="54" t="s">
        <v>1013</v>
      </c>
      <c r="K202" s="54" t="s">
        <v>1134</v>
      </c>
      <c r="L202" s="54" t="s">
        <v>52</v>
      </c>
      <c r="M202" s="54"/>
      <c r="N202" s="54"/>
      <c r="O202" s="54" t="s">
        <v>72</v>
      </c>
      <c r="P202" s="54"/>
      <c r="Q202" s="54">
        <v>0.71</v>
      </c>
      <c r="R202" s="54">
        <f>+Q202</f>
        <v>0.71</v>
      </c>
      <c r="S202" s="54"/>
      <c r="T202" s="54"/>
      <c r="U202" s="54"/>
      <c r="V202" s="54"/>
      <c r="W202" s="54">
        <v>1297</v>
      </c>
      <c r="X202" s="66">
        <f t="shared" si="9"/>
        <v>0.71</v>
      </c>
      <c r="Y202" s="72">
        <f>+W202</f>
        <v>1297</v>
      </c>
      <c r="Z202" s="192" t="str">
        <f t="shared" si="8"/>
        <v>S</v>
      </c>
      <c r="AA202" s="172" t="s">
        <v>1397</v>
      </c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</row>
    <row r="203" spans="1:38" s="45" customFormat="1">
      <c r="A203" s="53">
        <v>46</v>
      </c>
      <c r="B203" s="60" t="s">
        <v>45</v>
      </c>
      <c r="C203" s="60">
        <v>1984</v>
      </c>
      <c r="D203" s="60" t="s">
        <v>113</v>
      </c>
      <c r="E203" s="56" t="s">
        <v>49</v>
      </c>
      <c r="F203" s="54">
        <v>1983</v>
      </c>
      <c r="G203" s="54" t="s">
        <v>116</v>
      </c>
      <c r="H203" s="54" t="s">
        <v>95</v>
      </c>
      <c r="I203" s="54"/>
      <c r="J203" s="54" t="s">
        <v>1013</v>
      </c>
      <c r="K203" s="54" t="s">
        <v>1134</v>
      </c>
      <c r="L203" s="54" t="s">
        <v>117</v>
      </c>
      <c r="M203" s="54"/>
      <c r="N203" s="54"/>
      <c r="O203" s="54" t="s">
        <v>133</v>
      </c>
      <c r="P203" s="54"/>
      <c r="Q203" s="54"/>
      <c r="R203" s="54">
        <v>0.69</v>
      </c>
      <c r="S203" s="54"/>
      <c r="T203" s="54"/>
      <c r="U203" s="54"/>
      <c r="V203" s="54"/>
      <c r="W203" s="54"/>
      <c r="X203" s="66">
        <f t="shared" si="9"/>
        <v>0.69</v>
      </c>
      <c r="Y203" s="72">
        <v>1261</v>
      </c>
      <c r="Z203" s="192" t="str">
        <f t="shared" si="8"/>
        <v>S</v>
      </c>
      <c r="AA203" s="172" t="s">
        <v>1397</v>
      </c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</row>
    <row r="204" spans="1:38" s="45" customFormat="1">
      <c r="A204" s="53">
        <v>46</v>
      </c>
      <c r="B204" s="60" t="s">
        <v>45</v>
      </c>
      <c r="C204" s="60">
        <v>1984</v>
      </c>
      <c r="D204" s="60" t="s">
        <v>113</v>
      </c>
      <c r="E204" s="56" t="s">
        <v>49</v>
      </c>
      <c r="F204" s="54">
        <v>1983</v>
      </c>
      <c r="G204" s="54" t="s">
        <v>116</v>
      </c>
      <c r="H204" s="54" t="s">
        <v>95</v>
      </c>
      <c r="I204" s="54"/>
      <c r="J204" s="54" t="s">
        <v>1013</v>
      </c>
      <c r="K204" s="54" t="s">
        <v>1134</v>
      </c>
      <c r="L204" s="54" t="s">
        <v>117</v>
      </c>
      <c r="M204" s="54"/>
      <c r="N204" s="54"/>
      <c r="O204" s="54" t="s">
        <v>119</v>
      </c>
      <c r="P204" s="54"/>
      <c r="Q204" s="54"/>
      <c r="R204" s="54">
        <v>0.66</v>
      </c>
      <c r="S204" s="54"/>
      <c r="T204" s="54"/>
      <c r="U204" s="54"/>
      <c r="V204" s="54"/>
      <c r="W204" s="54"/>
      <c r="X204" s="66">
        <f t="shared" si="9"/>
        <v>0.66</v>
      </c>
      <c r="Y204" s="72">
        <v>1204</v>
      </c>
      <c r="Z204" s="192" t="str">
        <f t="shared" si="8"/>
        <v>S</v>
      </c>
      <c r="AA204" s="172" t="s">
        <v>1397</v>
      </c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</row>
    <row r="205" spans="1:38" s="45" customFormat="1">
      <c r="A205" s="53">
        <v>46</v>
      </c>
      <c r="B205" s="60" t="s">
        <v>45</v>
      </c>
      <c r="C205" s="60">
        <v>1984</v>
      </c>
      <c r="D205" s="60" t="s">
        <v>113</v>
      </c>
      <c r="E205" s="56" t="s">
        <v>49</v>
      </c>
      <c r="F205" s="54">
        <v>1983</v>
      </c>
      <c r="G205" s="54" t="s">
        <v>116</v>
      </c>
      <c r="H205" s="54" t="s">
        <v>95</v>
      </c>
      <c r="I205" s="54"/>
      <c r="J205" s="54" t="s">
        <v>1013</v>
      </c>
      <c r="K205" s="54" t="s">
        <v>1134</v>
      </c>
      <c r="L205" s="54" t="s">
        <v>117</v>
      </c>
      <c r="M205" s="54"/>
      <c r="N205" s="54"/>
      <c r="O205" s="54" t="s">
        <v>118</v>
      </c>
      <c r="P205" s="54"/>
      <c r="Q205" s="54"/>
      <c r="R205" s="54">
        <v>0.63</v>
      </c>
      <c r="S205" s="54"/>
      <c r="T205" s="54"/>
      <c r="U205" s="54"/>
      <c r="V205" s="54"/>
      <c r="W205" s="54"/>
      <c r="X205" s="66">
        <f t="shared" si="9"/>
        <v>0.63</v>
      </c>
      <c r="Y205" s="72">
        <v>1146</v>
      </c>
      <c r="Z205" s="192" t="str">
        <f t="shared" si="8"/>
        <v>S</v>
      </c>
      <c r="AA205" s="172" t="s">
        <v>1397</v>
      </c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</row>
    <row r="206" spans="1:38" s="45" customFormat="1">
      <c r="A206" s="53">
        <v>121</v>
      </c>
      <c r="B206" s="60" t="s">
        <v>427</v>
      </c>
      <c r="C206" s="60">
        <v>2002</v>
      </c>
      <c r="D206" s="60" t="s">
        <v>428</v>
      </c>
      <c r="E206" s="56" t="s">
        <v>430</v>
      </c>
      <c r="F206" s="54">
        <v>2002</v>
      </c>
      <c r="G206" s="54" t="s">
        <v>466</v>
      </c>
      <c r="H206" s="54" t="s">
        <v>159</v>
      </c>
      <c r="I206" s="54"/>
      <c r="J206" s="54" t="s">
        <v>1013</v>
      </c>
      <c r="K206" s="54" t="s">
        <v>1162</v>
      </c>
      <c r="L206" s="54" t="s">
        <v>462</v>
      </c>
      <c r="M206" s="59" t="s">
        <v>467</v>
      </c>
      <c r="N206" s="59" t="s">
        <v>468</v>
      </c>
      <c r="O206" s="54" t="s">
        <v>469</v>
      </c>
      <c r="P206" s="54"/>
      <c r="Q206" s="54"/>
      <c r="R206" s="54"/>
      <c r="S206" s="54"/>
      <c r="T206" s="54"/>
      <c r="U206" s="54"/>
      <c r="V206" s="54"/>
      <c r="W206" s="54"/>
      <c r="X206" s="66" t="str">
        <f t="shared" si="9"/>
        <v/>
      </c>
      <c r="Y206" s="72">
        <v>1558</v>
      </c>
      <c r="Z206" s="192" t="str">
        <f t="shared" si="8"/>
        <v/>
      </c>
      <c r="AA206" s="172" t="s">
        <v>1397</v>
      </c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</row>
    <row r="207" spans="1:38" s="45" customFormat="1">
      <c r="A207" s="53">
        <v>121</v>
      </c>
      <c r="B207" s="60" t="s">
        <v>427</v>
      </c>
      <c r="C207" s="60">
        <v>2002</v>
      </c>
      <c r="D207" s="60" t="s">
        <v>428</v>
      </c>
      <c r="E207" s="56" t="s">
        <v>430</v>
      </c>
      <c r="F207" s="54">
        <v>2002</v>
      </c>
      <c r="G207" s="54" t="s">
        <v>461</v>
      </c>
      <c r="H207" s="54"/>
      <c r="I207" s="54"/>
      <c r="J207" s="54" t="s">
        <v>1013</v>
      </c>
      <c r="K207" s="54" t="s">
        <v>1162</v>
      </c>
      <c r="L207" s="54" t="s">
        <v>462</v>
      </c>
      <c r="M207" s="54" t="s">
        <v>463</v>
      </c>
      <c r="N207" s="54" t="s">
        <v>464</v>
      </c>
      <c r="O207" s="54" t="s">
        <v>465</v>
      </c>
      <c r="P207" s="54"/>
      <c r="Q207" s="54"/>
      <c r="R207" s="54"/>
      <c r="S207" s="54"/>
      <c r="T207" s="54"/>
      <c r="U207" s="54"/>
      <c r="V207" s="54"/>
      <c r="W207" s="54"/>
      <c r="X207" s="66" t="str">
        <f t="shared" si="9"/>
        <v/>
      </c>
      <c r="Y207" s="72">
        <v>1570</v>
      </c>
      <c r="Z207" s="192" t="str">
        <f t="shared" si="8"/>
        <v/>
      </c>
      <c r="AA207" s="172" t="s">
        <v>1397</v>
      </c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</row>
  </sheetData>
  <sortState ref="A2:AA207">
    <sortCondition ref="AA2:AA207"/>
    <sortCondition ref="K2:K207"/>
    <sortCondition ref="Z2:Z207"/>
    <sortCondition descending="1" ref="X2:X207"/>
  </sortState>
  <dataValidations count="1">
    <dataValidation showInputMessage="1" showErrorMessage="1" sqref="A1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4"/>
  <sheetViews>
    <sheetView workbookViewId="0">
      <pane ySplit="560" activePane="bottomLeft"/>
      <selection activeCell="K1" sqref="K1:K1048576"/>
      <selection pane="bottomLeft" activeCell="K50" sqref="K50"/>
    </sheetView>
  </sheetViews>
  <sheetFormatPr baseColWidth="10" defaultRowHeight="15" x14ac:dyDescent="0"/>
  <cols>
    <col min="1" max="10" width="10.83203125" style="45"/>
    <col min="11" max="11" width="35.33203125" style="45" bestFit="1" customWidth="1"/>
    <col min="12" max="12" width="38.1640625" style="45" customWidth="1"/>
    <col min="13" max="26" width="10.83203125" style="45"/>
    <col min="27" max="27" width="25.1640625" style="45" customWidth="1"/>
  </cols>
  <sheetData>
    <row r="1" spans="1:38" s="45" customFormat="1">
      <c r="A1" s="36" t="s">
        <v>0</v>
      </c>
      <c r="B1" s="36" t="s">
        <v>1</v>
      </c>
      <c r="C1" s="295" t="s">
        <v>2</v>
      </c>
      <c r="D1" s="295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1217</v>
      </c>
      <c r="W1" s="36" t="s">
        <v>1218</v>
      </c>
      <c r="X1" s="36" t="s">
        <v>1174</v>
      </c>
      <c r="Y1" s="50" t="s">
        <v>1219</v>
      </c>
      <c r="Z1" s="36" t="s">
        <v>1176</v>
      </c>
    </row>
    <row r="2" spans="1:38" s="45" customFormat="1">
      <c r="A2" s="53">
        <v>4</v>
      </c>
      <c r="B2" s="60" t="s">
        <v>16</v>
      </c>
      <c r="C2" s="60">
        <v>1969</v>
      </c>
      <c r="D2" s="60" t="s">
        <v>17</v>
      </c>
      <c r="E2" s="56" t="s">
        <v>20</v>
      </c>
      <c r="F2" s="54">
        <v>1968</v>
      </c>
      <c r="G2" s="54" t="s">
        <v>21</v>
      </c>
      <c r="H2" s="54" t="s">
        <v>23</v>
      </c>
      <c r="I2" s="54"/>
      <c r="J2" s="298" t="s">
        <v>1013</v>
      </c>
      <c r="K2" s="298" t="s">
        <v>1087</v>
      </c>
      <c r="L2" s="54" t="s">
        <v>27</v>
      </c>
      <c r="M2" s="54"/>
      <c r="N2" s="54"/>
      <c r="O2" s="54" t="s">
        <v>28</v>
      </c>
      <c r="P2" s="54"/>
      <c r="Q2" s="54"/>
      <c r="R2" s="54"/>
      <c r="S2" s="54"/>
      <c r="T2" s="54"/>
      <c r="U2" s="54"/>
      <c r="V2" s="54"/>
      <c r="W2" s="54"/>
      <c r="X2" s="66" t="str">
        <f t="shared" ref="X2:X65" si="0">IF(R2&lt;&gt;0,IF(R2&gt;1,R2/100,R2),IF(U2&lt;&gt;0,IF(U2&gt;1,U2/100,U2),""))</f>
        <v/>
      </c>
      <c r="Y2" s="72">
        <v>1143</v>
      </c>
      <c r="Z2" s="192" t="str">
        <f t="shared" ref="Z2:Z33" si="1">IF(X2&lt;&gt;"",IF(X2&lt;0.9,"S","F"),"")</f>
        <v/>
      </c>
      <c r="AA2" s="196"/>
      <c r="AB2" s="196" t="s">
        <v>1206</v>
      </c>
      <c r="AC2" s="196" t="s">
        <v>1207</v>
      </c>
      <c r="AD2" s="196" t="s">
        <v>1208</v>
      </c>
      <c r="AE2" s="196" t="s">
        <v>1209</v>
      </c>
      <c r="AF2" s="196" t="s">
        <v>1210</v>
      </c>
      <c r="AG2" s="196" t="s">
        <v>1211</v>
      </c>
      <c r="AH2" s="172"/>
      <c r="AI2" s="172"/>
      <c r="AJ2" s="172"/>
      <c r="AK2" s="172"/>
      <c r="AL2" s="172"/>
    </row>
    <row r="3" spans="1:38" s="45" customFormat="1">
      <c r="A3" s="172"/>
      <c r="B3" s="67" t="s">
        <v>968</v>
      </c>
      <c r="C3" s="171">
        <v>1996</v>
      </c>
      <c r="D3" s="172"/>
      <c r="E3" s="296" t="s">
        <v>172</v>
      </c>
      <c r="F3" s="172"/>
      <c r="G3" s="172"/>
      <c r="H3" s="67" t="s">
        <v>23</v>
      </c>
      <c r="I3" s="67"/>
      <c r="J3" s="66" t="s">
        <v>1013</v>
      </c>
      <c r="K3" s="67" t="s">
        <v>1002</v>
      </c>
      <c r="L3" s="67" t="s">
        <v>1002</v>
      </c>
      <c r="M3" s="67" t="s">
        <v>1003</v>
      </c>
      <c r="N3" s="67"/>
      <c r="O3" s="67" t="s">
        <v>1005</v>
      </c>
      <c r="P3" s="172"/>
      <c r="Q3" s="172"/>
      <c r="R3" s="172"/>
      <c r="S3" s="172"/>
      <c r="T3" s="172"/>
      <c r="U3" s="172"/>
      <c r="V3" s="172">
        <f>837*44/12/2</f>
        <v>1534.5</v>
      </c>
      <c r="W3" s="172"/>
      <c r="X3" s="66" t="str">
        <f t="shared" si="0"/>
        <v/>
      </c>
      <c r="Y3" s="297">
        <f>837*44/12/2</f>
        <v>1534.5</v>
      </c>
      <c r="Z3" s="192" t="str">
        <f t="shared" si="1"/>
        <v/>
      </c>
      <c r="AA3" s="293" t="s">
        <v>1313</v>
      </c>
      <c r="AB3" s="300">
        <f>AVERAGE($Y$4:$Y$14)</f>
        <v>1685.3181818181818</v>
      </c>
      <c r="AC3" s="300">
        <f>MEDIAN($Y$4:$Y$14)</f>
        <v>1716</v>
      </c>
      <c r="AD3" s="300">
        <f>MAX($Y$4:$Y$14)</f>
        <v>1781</v>
      </c>
      <c r="AE3" s="300">
        <f>MIN($Y$4:$Y$14)</f>
        <v>1447.6000000000001</v>
      </c>
      <c r="AF3" s="300">
        <f>STDEV($Y$4:$Y$14)</f>
        <v>95.398457201170871</v>
      </c>
      <c r="AG3" s="300">
        <f>COUNT($Y$4:$Y$14)</f>
        <v>11</v>
      </c>
      <c r="AI3" s="172"/>
      <c r="AJ3" s="172"/>
      <c r="AK3" s="172"/>
      <c r="AL3" s="172"/>
    </row>
    <row r="4" spans="1:38" s="45" customFormat="1">
      <c r="A4" s="53"/>
      <c r="B4" s="290" t="s">
        <v>1276</v>
      </c>
      <c r="C4" s="291">
        <v>1989</v>
      </c>
      <c r="D4" s="66"/>
      <c r="E4" s="60" t="s">
        <v>49</v>
      </c>
      <c r="F4" s="54"/>
      <c r="G4" s="54"/>
      <c r="H4" s="54"/>
      <c r="I4" s="54"/>
      <c r="J4" s="257" t="s">
        <v>1013</v>
      </c>
      <c r="K4" s="257" t="s">
        <v>1002</v>
      </c>
      <c r="L4" s="54"/>
      <c r="M4" s="54"/>
      <c r="N4" s="54"/>
      <c r="O4" s="45" t="s">
        <v>1233</v>
      </c>
      <c r="P4" s="54"/>
      <c r="Q4" s="54"/>
      <c r="R4" s="45">
        <v>0.97199999999999998</v>
      </c>
      <c r="S4" s="54"/>
      <c r="T4" s="54"/>
      <c r="U4" s="54"/>
      <c r="V4" s="54"/>
      <c r="W4" s="54"/>
      <c r="X4" s="66">
        <f t="shared" si="0"/>
        <v>0.97199999999999998</v>
      </c>
      <c r="Y4" s="45">
        <v>1781</v>
      </c>
      <c r="Z4" s="192" t="str">
        <f t="shared" si="1"/>
        <v>F</v>
      </c>
      <c r="AA4" s="293" t="s">
        <v>1314</v>
      </c>
      <c r="AB4" s="198">
        <f>AVERAGE($Y$15:$Y$27)</f>
        <v>1539.1538461538462</v>
      </c>
      <c r="AC4" s="198">
        <f>MEDIAN($Y$15:$Y$27)</f>
        <v>1522</v>
      </c>
      <c r="AD4" s="198">
        <f>MAX($Y$15:$Y$27)</f>
        <v>1635</v>
      </c>
      <c r="AE4" s="198">
        <f>MIN($Y$15:$Y$27)</f>
        <v>1469</v>
      </c>
      <c r="AF4" s="198">
        <f>STDEV($Y$15:$Y$27)</f>
        <v>59.013905358322333</v>
      </c>
      <c r="AG4" s="198">
        <f>COUNT($Y$15:$Y$27)</f>
        <v>13</v>
      </c>
      <c r="AH4" s="172" t="s">
        <v>1315</v>
      </c>
      <c r="AI4" s="172"/>
      <c r="AJ4" s="172"/>
      <c r="AK4" s="172"/>
      <c r="AL4" s="172"/>
    </row>
    <row r="5" spans="1:38" s="45" customFormat="1">
      <c r="A5" s="53">
        <v>118</v>
      </c>
      <c r="B5" s="73" t="s">
        <v>399</v>
      </c>
      <c r="C5" s="54">
        <v>1999</v>
      </c>
      <c r="D5" s="73" t="s">
        <v>400</v>
      </c>
      <c r="E5" s="56" t="s">
        <v>20</v>
      </c>
      <c r="F5" s="54">
        <v>1999</v>
      </c>
      <c r="G5" s="54" t="s">
        <v>326</v>
      </c>
      <c r="H5" s="54" t="s">
        <v>159</v>
      </c>
      <c r="I5" s="54"/>
      <c r="J5" s="66" t="s">
        <v>1013</v>
      </c>
      <c r="K5" s="54" t="s">
        <v>1054</v>
      </c>
      <c r="L5" s="54" t="s">
        <v>405</v>
      </c>
      <c r="M5" s="54"/>
      <c r="N5" s="54"/>
      <c r="O5" s="54">
        <v>3</v>
      </c>
      <c r="P5" s="54"/>
      <c r="Q5" s="54"/>
      <c r="R5" s="54"/>
      <c r="S5" s="54"/>
      <c r="T5" s="54"/>
      <c r="U5" s="54">
        <v>0.95</v>
      </c>
      <c r="V5" s="54"/>
      <c r="W5" s="54"/>
      <c r="X5" s="66">
        <f t="shared" si="0"/>
        <v>0.95</v>
      </c>
      <c r="Y5" s="72">
        <v>1764.9</v>
      </c>
      <c r="Z5" s="192" t="str">
        <f t="shared" si="1"/>
        <v>F</v>
      </c>
      <c r="AA5" s="172" t="s">
        <v>1323</v>
      </c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</row>
    <row r="6" spans="1:38" s="45" customFormat="1">
      <c r="A6" s="53"/>
      <c r="B6" s="290" t="s">
        <v>1276</v>
      </c>
      <c r="C6" s="291">
        <v>1989</v>
      </c>
      <c r="D6" s="66"/>
      <c r="E6" s="60" t="s">
        <v>49</v>
      </c>
      <c r="F6" s="54"/>
      <c r="G6" s="54"/>
      <c r="H6" s="54"/>
      <c r="I6" s="54"/>
      <c r="J6" s="257" t="s">
        <v>1013</v>
      </c>
      <c r="K6" s="257" t="s">
        <v>1002</v>
      </c>
      <c r="L6" s="54"/>
      <c r="M6" s="54"/>
      <c r="N6" s="54"/>
      <c r="O6" s="45" t="s">
        <v>1232</v>
      </c>
      <c r="P6" s="54"/>
      <c r="Q6" s="54"/>
      <c r="R6" s="45">
        <v>0.94899999999999995</v>
      </c>
      <c r="S6" s="54"/>
      <c r="T6" s="54"/>
      <c r="U6" s="54"/>
      <c r="V6" s="54"/>
      <c r="W6" s="54"/>
      <c r="X6" s="66">
        <f t="shared" si="0"/>
        <v>0.94899999999999995</v>
      </c>
      <c r="Y6" s="45">
        <v>1739</v>
      </c>
      <c r="Z6" s="192" t="str">
        <f t="shared" si="1"/>
        <v>F</v>
      </c>
      <c r="AI6" s="172"/>
      <c r="AJ6" s="172"/>
      <c r="AK6" s="172"/>
      <c r="AL6" s="172"/>
    </row>
    <row r="7" spans="1:38" s="45" customFormat="1">
      <c r="A7" s="53"/>
      <c r="B7" s="290" t="s">
        <v>1276</v>
      </c>
      <c r="C7" s="291">
        <v>1989</v>
      </c>
      <c r="D7" s="66"/>
      <c r="E7" s="60" t="s">
        <v>49</v>
      </c>
      <c r="F7" s="54"/>
      <c r="G7" s="54"/>
      <c r="H7" s="54"/>
      <c r="I7" s="54"/>
      <c r="J7" s="257" t="s">
        <v>1013</v>
      </c>
      <c r="K7" s="257" t="s">
        <v>1002</v>
      </c>
      <c r="L7" s="54"/>
      <c r="M7" s="54"/>
      <c r="N7" s="54"/>
      <c r="O7" s="45" t="s">
        <v>1230</v>
      </c>
      <c r="P7" s="54"/>
      <c r="Q7" s="54"/>
      <c r="R7" s="45">
        <v>0.94</v>
      </c>
      <c r="S7" s="54"/>
      <c r="T7" s="54"/>
      <c r="U7" s="54"/>
      <c r="V7" s="54"/>
      <c r="W7" s="54"/>
      <c r="X7" s="66">
        <f t="shared" si="0"/>
        <v>0.94</v>
      </c>
      <c r="Y7" s="45">
        <v>1720</v>
      </c>
      <c r="Z7" s="192" t="str">
        <f t="shared" si="1"/>
        <v>F</v>
      </c>
      <c r="AI7" s="172"/>
      <c r="AJ7" s="172"/>
      <c r="AK7" s="172"/>
      <c r="AL7" s="172"/>
    </row>
    <row r="8" spans="1:38" s="45" customFormat="1">
      <c r="A8" s="53"/>
      <c r="B8" s="290" t="s">
        <v>1276</v>
      </c>
      <c r="C8" s="291">
        <v>1989</v>
      </c>
      <c r="D8" s="66"/>
      <c r="E8" s="60" t="s">
        <v>49</v>
      </c>
      <c r="F8" s="54"/>
      <c r="G8" s="54"/>
      <c r="H8" s="54"/>
      <c r="I8" s="54"/>
      <c r="J8" s="257" t="s">
        <v>1013</v>
      </c>
      <c r="K8" s="257" t="s">
        <v>1002</v>
      </c>
      <c r="L8" s="54"/>
      <c r="M8" s="54"/>
      <c r="N8" s="54"/>
      <c r="O8" s="45" t="s">
        <v>1234</v>
      </c>
      <c r="P8" s="54"/>
      <c r="Q8" s="54"/>
      <c r="R8" s="45">
        <v>0.93600000000000005</v>
      </c>
      <c r="S8" s="54"/>
      <c r="T8" s="54"/>
      <c r="U8" s="54"/>
      <c r="V8" s="54"/>
      <c r="W8" s="54"/>
      <c r="X8" s="66">
        <f t="shared" si="0"/>
        <v>0.93600000000000005</v>
      </c>
      <c r="Y8" s="45">
        <v>1716</v>
      </c>
      <c r="Z8" s="192" t="str">
        <f t="shared" si="1"/>
        <v>F</v>
      </c>
      <c r="AI8" s="172"/>
      <c r="AJ8" s="172"/>
      <c r="AK8" s="172"/>
      <c r="AL8" s="172"/>
    </row>
    <row r="9" spans="1:38" s="45" customFormat="1">
      <c r="A9" s="53"/>
      <c r="B9" s="290" t="s">
        <v>1276</v>
      </c>
      <c r="C9" s="291">
        <v>1989</v>
      </c>
      <c r="D9" s="66"/>
      <c r="E9" s="60" t="s">
        <v>49</v>
      </c>
      <c r="F9" s="54"/>
      <c r="G9" s="54"/>
      <c r="H9" s="54"/>
      <c r="I9" s="54"/>
      <c r="J9" s="257" t="s">
        <v>1013</v>
      </c>
      <c r="K9" s="257" t="s">
        <v>1002</v>
      </c>
      <c r="L9" s="54"/>
      <c r="M9" s="54"/>
      <c r="N9" s="54"/>
      <c r="O9" s="45" t="s">
        <v>1254</v>
      </c>
      <c r="P9" s="54"/>
      <c r="Q9" s="54"/>
      <c r="R9" s="45">
        <v>0.93500000000000005</v>
      </c>
      <c r="S9" s="54"/>
      <c r="T9" s="54"/>
      <c r="U9" s="54"/>
      <c r="V9" s="54"/>
      <c r="W9" s="54"/>
      <c r="X9" s="66">
        <f t="shared" si="0"/>
        <v>0.93500000000000005</v>
      </c>
      <c r="Y9" s="45">
        <v>1716</v>
      </c>
      <c r="Z9" s="192" t="str">
        <f t="shared" si="1"/>
        <v>F</v>
      </c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s="45" customFormat="1">
      <c r="A10" s="53"/>
      <c r="B10" s="290" t="s">
        <v>1276</v>
      </c>
      <c r="C10" s="291">
        <v>1989</v>
      </c>
      <c r="D10" s="66"/>
      <c r="E10" s="60" t="s">
        <v>49</v>
      </c>
      <c r="F10" s="54"/>
      <c r="G10" s="54"/>
      <c r="H10" s="54"/>
      <c r="I10" s="54"/>
      <c r="J10" s="257" t="s">
        <v>1013</v>
      </c>
      <c r="K10" s="257" t="s">
        <v>1002</v>
      </c>
      <c r="L10" s="54"/>
      <c r="M10" s="54"/>
      <c r="N10" s="54"/>
      <c r="O10" s="45" t="s">
        <v>1235</v>
      </c>
      <c r="P10" s="54"/>
      <c r="Q10" s="54"/>
      <c r="R10" s="45">
        <v>0.93300000000000005</v>
      </c>
      <c r="S10" s="54"/>
      <c r="T10" s="54"/>
      <c r="U10" s="54"/>
      <c r="V10" s="54"/>
      <c r="W10" s="54"/>
      <c r="X10" s="66">
        <f t="shared" si="0"/>
        <v>0.93300000000000005</v>
      </c>
      <c r="Y10" s="45">
        <v>1711</v>
      </c>
      <c r="Z10" s="192" t="str">
        <f t="shared" si="1"/>
        <v>F</v>
      </c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s="45" customFormat="1">
      <c r="A11" s="53"/>
      <c r="B11" s="290" t="s">
        <v>1276</v>
      </c>
      <c r="C11" s="291">
        <v>1989</v>
      </c>
      <c r="D11" s="66"/>
      <c r="E11" s="60" t="s">
        <v>49</v>
      </c>
      <c r="F11" s="54"/>
      <c r="G11" s="54"/>
      <c r="H11" s="54"/>
      <c r="I11" s="54"/>
      <c r="J11" s="257" t="s">
        <v>1013</v>
      </c>
      <c r="K11" s="257" t="s">
        <v>1002</v>
      </c>
      <c r="L11" s="54"/>
      <c r="M11" s="54"/>
      <c r="N11" s="54"/>
      <c r="O11" s="45" t="s">
        <v>1231</v>
      </c>
      <c r="P11" s="54"/>
      <c r="Q11" s="54"/>
      <c r="R11" s="45">
        <v>0.93</v>
      </c>
      <c r="S11" s="54"/>
      <c r="T11" s="54"/>
      <c r="U11" s="54"/>
      <c r="V11" s="54"/>
      <c r="W11" s="54"/>
      <c r="X11" s="66">
        <f t="shared" si="0"/>
        <v>0.93</v>
      </c>
      <c r="Y11" s="45">
        <v>1705</v>
      </c>
      <c r="Z11" s="192" t="str">
        <f t="shared" si="1"/>
        <v>F</v>
      </c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s="45" customFormat="1">
      <c r="A12" s="53">
        <v>174</v>
      </c>
      <c r="B12" s="54" t="s">
        <v>697</v>
      </c>
      <c r="C12" s="54">
        <v>2009</v>
      </c>
      <c r="D12" s="78" t="s">
        <v>698</v>
      </c>
      <c r="E12" s="56" t="s">
        <v>20</v>
      </c>
      <c r="F12" s="57" t="s">
        <v>701</v>
      </c>
      <c r="G12" s="54" t="s">
        <v>705</v>
      </c>
      <c r="H12" s="54" t="s">
        <v>159</v>
      </c>
      <c r="I12" s="54"/>
      <c r="J12" s="172" t="s">
        <v>1013</v>
      </c>
      <c r="K12" s="54" t="s">
        <v>1087</v>
      </c>
      <c r="L12" s="54" t="s">
        <v>464</v>
      </c>
      <c r="M12" s="59"/>
      <c r="N12" s="59"/>
      <c r="O12" s="54" t="s">
        <v>464</v>
      </c>
      <c r="P12" s="60"/>
      <c r="Q12" s="60"/>
      <c r="R12" s="54"/>
      <c r="S12" s="54"/>
      <c r="T12" s="54"/>
      <c r="U12" s="61">
        <v>0.90600000000000003</v>
      </c>
      <c r="V12" s="167"/>
      <c r="W12" s="167"/>
      <c r="X12" s="66">
        <f t="shared" si="0"/>
        <v>0.90600000000000003</v>
      </c>
      <c r="Y12" s="219">
        <v>1579</v>
      </c>
      <c r="Z12" s="192" t="str">
        <f t="shared" si="1"/>
        <v>F</v>
      </c>
      <c r="AI12" s="172"/>
      <c r="AJ12" s="172"/>
      <c r="AK12" s="172"/>
      <c r="AL12" s="172"/>
    </row>
    <row r="13" spans="1:38" s="45" customFormat="1">
      <c r="A13" s="172"/>
      <c r="B13" s="67" t="s">
        <v>968</v>
      </c>
      <c r="C13" s="171">
        <v>1996</v>
      </c>
      <c r="D13" s="172"/>
      <c r="E13" s="296" t="s">
        <v>172</v>
      </c>
      <c r="F13" s="172"/>
      <c r="G13" s="172"/>
      <c r="H13" s="67" t="s">
        <v>95</v>
      </c>
      <c r="I13" s="67"/>
      <c r="J13" s="66" t="s">
        <v>1013</v>
      </c>
      <c r="K13" s="67" t="s">
        <v>1002</v>
      </c>
      <c r="L13" s="67" t="s">
        <v>1002</v>
      </c>
      <c r="M13" s="67" t="s">
        <v>1003</v>
      </c>
      <c r="N13" s="67"/>
      <c r="O13" s="67" t="s">
        <v>1004</v>
      </c>
      <c r="P13" s="172"/>
      <c r="Q13" s="172"/>
      <c r="R13" s="172"/>
      <c r="S13" s="172"/>
      <c r="T13" s="172"/>
      <c r="U13" s="172">
        <v>0.9</v>
      </c>
      <c r="V13" s="172">
        <f>789.6*44/12/2</f>
        <v>1447.6000000000001</v>
      </c>
      <c r="W13" s="172"/>
      <c r="X13" s="66">
        <f t="shared" si="0"/>
        <v>0.9</v>
      </c>
      <c r="Y13" s="297">
        <f>789.6*44/12/2</f>
        <v>1447.6000000000001</v>
      </c>
      <c r="Z13" s="192" t="str">
        <f t="shared" si="1"/>
        <v>F</v>
      </c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</row>
    <row r="14" spans="1:38" s="45" customFormat="1">
      <c r="A14" s="53"/>
      <c r="B14" s="290" t="s">
        <v>1276</v>
      </c>
      <c r="C14" s="291">
        <v>1989</v>
      </c>
      <c r="D14" s="66"/>
      <c r="E14" s="60" t="s">
        <v>49</v>
      </c>
      <c r="F14" s="54"/>
      <c r="G14" s="54"/>
      <c r="H14" s="54"/>
      <c r="I14" s="54"/>
      <c r="J14" s="257" t="s">
        <v>1013</v>
      </c>
      <c r="K14" s="257" t="s">
        <v>1002</v>
      </c>
      <c r="L14" s="54"/>
      <c r="M14" s="54"/>
      <c r="N14" s="54"/>
      <c r="O14" s="45" t="s">
        <v>1229</v>
      </c>
      <c r="P14" s="54"/>
      <c r="Q14" s="54"/>
      <c r="R14" s="45">
        <v>0.9</v>
      </c>
      <c r="S14" s="54"/>
      <c r="T14" s="54"/>
      <c r="U14" s="54"/>
      <c r="V14" s="54"/>
      <c r="W14" s="54"/>
      <c r="X14" s="66">
        <f t="shared" si="0"/>
        <v>0.9</v>
      </c>
      <c r="Y14" s="45">
        <v>1659</v>
      </c>
      <c r="Z14" s="192" t="str">
        <f t="shared" si="1"/>
        <v>F</v>
      </c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</row>
    <row r="15" spans="1:38" s="45" customFormat="1">
      <c r="A15" s="53"/>
      <c r="B15" s="290" t="s">
        <v>1276</v>
      </c>
      <c r="C15" s="291">
        <v>1989</v>
      </c>
      <c r="D15" s="66"/>
      <c r="E15" s="60" t="s">
        <v>49</v>
      </c>
      <c r="F15" s="54"/>
      <c r="G15" s="54"/>
      <c r="H15" s="54"/>
      <c r="I15" s="54"/>
      <c r="J15" s="257" t="s">
        <v>1013</v>
      </c>
      <c r="K15" s="257" t="s">
        <v>1002</v>
      </c>
      <c r="L15" s="54"/>
      <c r="M15" s="54"/>
      <c r="N15" s="54"/>
      <c r="O15" s="45" t="s">
        <v>1226</v>
      </c>
      <c r="P15" s="54"/>
      <c r="Q15" s="54"/>
      <c r="R15" s="45">
        <v>0.89</v>
      </c>
      <c r="S15" s="54"/>
      <c r="T15" s="54"/>
      <c r="U15" s="54"/>
      <c r="V15" s="54"/>
      <c r="W15" s="54"/>
      <c r="X15" s="66">
        <f t="shared" si="0"/>
        <v>0.89</v>
      </c>
      <c r="Y15" s="45">
        <v>1625</v>
      </c>
      <c r="Z15" s="192" t="str">
        <f t="shared" si="1"/>
        <v>S</v>
      </c>
      <c r="AH15" s="172"/>
      <c r="AI15" s="172"/>
      <c r="AJ15" s="172"/>
      <c r="AK15" s="172"/>
      <c r="AL15" s="172"/>
    </row>
    <row r="16" spans="1:38" s="45" customFormat="1">
      <c r="A16" s="53"/>
      <c r="B16" s="290" t="s">
        <v>1276</v>
      </c>
      <c r="C16" s="291">
        <v>1989</v>
      </c>
      <c r="D16" s="66"/>
      <c r="E16" s="60" t="s">
        <v>49</v>
      </c>
      <c r="F16" s="54"/>
      <c r="G16" s="54"/>
      <c r="H16" s="54"/>
      <c r="I16" s="54"/>
      <c r="J16" s="257" t="s">
        <v>1013</v>
      </c>
      <c r="K16" s="257" t="s">
        <v>1002</v>
      </c>
      <c r="L16" s="54"/>
      <c r="M16" s="54"/>
      <c r="N16" s="54"/>
      <c r="O16" s="45" t="s">
        <v>1228</v>
      </c>
      <c r="P16" s="54"/>
      <c r="Q16" s="54"/>
      <c r="R16" s="45">
        <v>0.89</v>
      </c>
      <c r="S16" s="54"/>
      <c r="T16" s="54"/>
      <c r="U16" s="54"/>
      <c r="V16" s="54"/>
      <c r="W16" s="54"/>
      <c r="X16" s="66">
        <f t="shared" si="0"/>
        <v>0.89</v>
      </c>
      <c r="Y16" s="45">
        <v>1635</v>
      </c>
      <c r="Z16" s="192" t="str">
        <f t="shared" si="1"/>
        <v>S</v>
      </c>
      <c r="AH16" s="172"/>
      <c r="AI16" s="172"/>
      <c r="AJ16" s="172"/>
      <c r="AK16" s="172"/>
      <c r="AL16" s="172"/>
    </row>
    <row r="17" spans="1:38" s="45" customFormat="1">
      <c r="A17" s="53"/>
      <c r="B17" s="290" t="s">
        <v>1276</v>
      </c>
      <c r="C17" s="291">
        <v>1989</v>
      </c>
      <c r="D17" s="66"/>
      <c r="E17" s="60" t="s">
        <v>49</v>
      </c>
      <c r="F17" s="54"/>
      <c r="G17" s="54"/>
      <c r="H17" s="54"/>
      <c r="I17" s="54"/>
      <c r="J17" s="257" t="s">
        <v>1013</v>
      </c>
      <c r="K17" s="257" t="s">
        <v>1002</v>
      </c>
      <c r="L17" s="54"/>
      <c r="M17" s="54"/>
      <c r="N17" s="54"/>
      <c r="O17" s="45" t="s">
        <v>1227</v>
      </c>
      <c r="P17" s="54"/>
      <c r="Q17" s="54"/>
      <c r="R17" s="45">
        <v>0.88</v>
      </c>
      <c r="S17" s="54"/>
      <c r="T17" s="54"/>
      <c r="U17" s="54"/>
      <c r="V17" s="54"/>
      <c r="W17" s="54"/>
      <c r="X17" s="66">
        <f t="shared" si="0"/>
        <v>0.88</v>
      </c>
      <c r="Y17" s="45">
        <v>1632</v>
      </c>
      <c r="Z17" s="192" t="str">
        <f t="shared" si="1"/>
        <v>S</v>
      </c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</row>
    <row r="18" spans="1:38" s="45" customFormat="1">
      <c r="A18" s="53"/>
      <c r="B18" s="290" t="s">
        <v>1276</v>
      </c>
      <c r="C18" s="291">
        <v>1989</v>
      </c>
      <c r="D18" s="66"/>
      <c r="E18" s="60" t="s">
        <v>49</v>
      </c>
      <c r="F18" s="54"/>
      <c r="G18" s="54"/>
      <c r="H18" s="54"/>
      <c r="I18" s="54"/>
      <c r="J18" s="257" t="s">
        <v>1013</v>
      </c>
      <c r="K18" s="257" t="s">
        <v>1002</v>
      </c>
      <c r="L18" s="54"/>
      <c r="M18" s="54"/>
      <c r="N18" s="54"/>
      <c r="O18" s="45" t="s">
        <v>1250</v>
      </c>
      <c r="P18" s="54"/>
      <c r="Q18" s="54"/>
      <c r="R18" s="45">
        <v>0.85</v>
      </c>
      <c r="S18" s="54"/>
      <c r="T18" s="54"/>
      <c r="U18" s="54"/>
      <c r="V18" s="54"/>
      <c r="W18" s="54"/>
      <c r="X18" s="66">
        <f t="shared" si="0"/>
        <v>0.85</v>
      </c>
      <c r="Y18" s="45">
        <v>1560</v>
      </c>
      <c r="Z18" s="192" t="str">
        <f t="shared" si="1"/>
        <v>S</v>
      </c>
      <c r="AH18" s="172"/>
      <c r="AI18" s="172"/>
      <c r="AJ18" s="172"/>
      <c r="AK18" s="172"/>
      <c r="AL18" s="172"/>
    </row>
    <row r="19" spans="1:38" s="45" customFormat="1">
      <c r="A19" s="53"/>
      <c r="B19" s="290" t="s">
        <v>1276</v>
      </c>
      <c r="C19" s="291">
        <v>1989</v>
      </c>
      <c r="D19" s="66"/>
      <c r="E19" s="60" t="s">
        <v>49</v>
      </c>
      <c r="F19" s="54"/>
      <c r="G19" s="54"/>
      <c r="H19" s="54"/>
      <c r="I19" s="54"/>
      <c r="J19" s="257" t="s">
        <v>1013</v>
      </c>
      <c r="K19" s="257" t="s">
        <v>1002</v>
      </c>
      <c r="L19" s="54"/>
      <c r="M19" s="54"/>
      <c r="N19" s="54"/>
      <c r="O19" s="45" t="s">
        <v>1255</v>
      </c>
      <c r="P19" s="54"/>
      <c r="Q19" s="54"/>
      <c r="R19" s="45">
        <v>0.84599999999999997</v>
      </c>
      <c r="S19" s="54"/>
      <c r="T19" s="54"/>
      <c r="U19" s="54"/>
      <c r="V19" s="54"/>
      <c r="W19" s="54"/>
      <c r="X19" s="66">
        <f t="shared" si="0"/>
        <v>0.84599999999999997</v>
      </c>
      <c r="Y19" s="45">
        <v>1553</v>
      </c>
      <c r="Z19" s="192" t="str">
        <f t="shared" si="1"/>
        <v>S</v>
      </c>
      <c r="AH19" s="172"/>
      <c r="AI19" s="172"/>
      <c r="AJ19" s="172"/>
      <c r="AK19" s="172"/>
      <c r="AL19" s="172"/>
    </row>
    <row r="20" spans="1:38" s="45" customFormat="1">
      <c r="A20" s="53"/>
      <c r="B20" s="290" t="s">
        <v>1276</v>
      </c>
      <c r="C20" s="291">
        <v>1989</v>
      </c>
      <c r="D20" s="66"/>
      <c r="E20" s="60" t="s">
        <v>49</v>
      </c>
      <c r="F20" s="54"/>
      <c r="G20" s="54"/>
      <c r="H20" s="54"/>
      <c r="I20" s="54"/>
      <c r="J20" s="257" t="s">
        <v>1013</v>
      </c>
      <c r="K20" s="257" t="s">
        <v>1002</v>
      </c>
      <c r="L20" s="54"/>
      <c r="M20" s="54"/>
      <c r="N20" s="54"/>
      <c r="O20" s="45" t="s">
        <v>1252</v>
      </c>
      <c r="P20" s="54"/>
      <c r="Q20" s="54"/>
      <c r="R20" s="45">
        <v>0.84099999999999997</v>
      </c>
      <c r="S20" s="54"/>
      <c r="T20" s="54"/>
      <c r="U20" s="54"/>
      <c r="V20" s="54"/>
      <c r="W20" s="54"/>
      <c r="X20" s="66">
        <f t="shared" si="0"/>
        <v>0.84099999999999997</v>
      </c>
      <c r="Y20" s="45">
        <v>1544</v>
      </c>
      <c r="Z20" s="192" t="str">
        <f t="shared" si="1"/>
        <v>S</v>
      </c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</row>
    <row r="21" spans="1:38" s="45" customFormat="1">
      <c r="A21" s="53"/>
      <c r="B21" s="290" t="s">
        <v>1276</v>
      </c>
      <c r="C21" s="291">
        <v>1989</v>
      </c>
      <c r="D21" s="66"/>
      <c r="E21" s="60" t="s">
        <v>49</v>
      </c>
      <c r="F21" s="54"/>
      <c r="G21" s="54"/>
      <c r="H21" s="54"/>
      <c r="I21" s="54"/>
      <c r="J21" s="257" t="s">
        <v>1013</v>
      </c>
      <c r="K21" s="257" t="s">
        <v>1002</v>
      </c>
      <c r="L21" s="54"/>
      <c r="M21" s="54"/>
      <c r="N21" s="54"/>
      <c r="O21" s="45" t="s">
        <v>1247</v>
      </c>
      <c r="P21" s="54"/>
      <c r="Q21" s="54"/>
      <c r="R21" s="45">
        <v>0.83</v>
      </c>
      <c r="S21" s="54"/>
      <c r="T21" s="54"/>
      <c r="U21" s="54"/>
      <c r="V21" s="54"/>
      <c r="W21" s="54"/>
      <c r="X21" s="66">
        <f t="shared" si="0"/>
        <v>0.83</v>
      </c>
      <c r="Y21" s="45">
        <v>1522</v>
      </c>
      <c r="Z21" s="192" t="str">
        <f t="shared" si="1"/>
        <v>S</v>
      </c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</row>
    <row r="22" spans="1:38" s="45" customFormat="1">
      <c r="A22" s="53"/>
      <c r="B22" s="290" t="s">
        <v>1276</v>
      </c>
      <c r="C22" s="291">
        <v>1989</v>
      </c>
      <c r="D22" s="66"/>
      <c r="E22" s="60" t="s">
        <v>49</v>
      </c>
      <c r="F22" s="54"/>
      <c r="G22" s="54"/>
      <c r="H22" s="54"/>
      <c r="I22" s="54"/>
      <c r="J22" s="257" t="s">
        <v>1013</v>
      </c>
      <c r="K22" s="257" t="s">
        <v>1002</v>
      </c>
      <c r="L22" s="54"/>
      <c r="M22" s="54"/>
      <c r="N22" s="54"/>
      <c r="O22" s="45" t="s">
        <v>1253</v>
      </c>
      <c r="P22" s="54"/>
      <c r="Q22" s="54"/>
      <c r="R22" s="45">
        <v>0.82199999999999995</v>
      </c>
      <c r="S22" s="54"/>
      <c r="T22" s="54"/>
      <c r="U22" s="54"/>
      <c r="V22" s="54"/>
      <c r="W22" s="54"/>
      <c r="X22" s="66">
        <f t="shared" si="0"/>
        <v>0.82199999999999995</v>
      </c>
      <c r="Y22" s="45">
        <v>1508</v>
      </c>
      <c r="Z22" s="192" t="str">
        <f t="shared" si="1"/>
        <v>S</v>
      </c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</row>
    <row r="23" spans="1:38" s="45" customFormat="1">
      <c r="A23" s="53"/>
      <c r="B23" s="290" t="s">
        <v>1276</v>
      </c>
      <c r="C23" s="291">
        <v>1989</v>
      </c>
      <c r="D23" s="66"/>
      <c r="E23" s="60" t="s">
        <v>49</v>
      </c>
      <c r="F23" s="54"/>
      <c r="G23" s="54"/>
      <c r="H23" s="54"/>
      <c r="I23" s="54"/>
      <c r="J23" s="257" t="s">
        <v>1013</v>
      </c>
      <c r="K23" s="257" t="s">
        <v>1002</v>
      </c>
      <c r="L23" s="54"/>
      <c r="M23" s="54"/>
      <c r="N23" s="54"/>
      <c r="O23" s="45" t="s">
        <v>1249</v>
      </c>
      <c r="P23" s="54"/>
      <c r="Q23" s="54"/>
      <c r="R23" s="45">
        <v>0.81599999999999995</v>
      </c>
      <c r="S23" s="54"/>
      <c r="T23" s="54"/>
      <c r="U23" s="54"/>
      <c r="V23" s="54"/>
      <c r="W23" s="54"/>
      <c r="X23" s="66">
        <f t="shared" si="0"/>
        <v>0.81599999999999995</v>
      </c>
      <c r="Y23" s="45">
        <v>1497</v>
      </c>
      <c r="Z23" s="192" t="str">
        <f t="shared" si="1"/>
        <v>S</v>
      </c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</row>
    <row r="24" spans="1:38" s="45" customFormat="1">
      <c r="A24" s="53"/>
      <c r="B24" s="290" t="s">
        <v>1276</v>
      </c>
      <c r="C24" s="291">
        <v>1989</v>
      </c>
      <c r="D24" s="66"/>
      <c r="E24" s="60" t="s">
        <v>49</v>
      </c>
      <c r="F24" s="54"/>
      <c r="G24" s="54"/>
      <c r="H24" s="54"/>
      <c r="I24" s="54"/>
      <c r="J24" s="257" t="s">
        <v>1013</v>
      </c>
      <c r="K24" s="257" t="s">
        <v>1002</v>
      </c>
      <c r="L24" s="54"/>
      <c r="M24" s="54"/>
      <c r="N24" s="54"/>
      <c r="O24" s="45" t="s">
        <v>1240</v>
      </c>
      <c r="P24" s="54"/>
      <c r="Q24" s="54"/>
      <c r="R24" s="45">
        <v>0.81399999999999995</v>
      </c>
      <c r="S24" s="54"/>
      <c r="T24" s="54"/>
      <c r="U24" s="54"/>
      <c r="V24" s="54"/>
      <c r="W24" s="54"/>
      <c r="X24" s="66">
        <f t="shared" si="0"/>
        <v>0.81399999999999995</v>
      </c>
      <c r="Y24" s="45">
        <v>1494</v>
      </c>
      <c r="Z24" s="192" t="str">
        <f t="shared" si="1"/>
        <v>S</v>
      </c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</row>
    <row r="25" spans="1:38" s="45" customFormat="1">
      <c r="A25" s="53"/>
      <c r="B25" s="290" t="s">
        <v>1276</v>
      </c>
      <c r="C25" s="291">
        <v>1989</v>
      </c>
      <c r="D25" s="66"/>
      <c r="E25" s="60" t="s">
        <v>49</v>
      </c>
      <c r="F25" s="54"/>
      <c r="G25" s="54"/>
      <c r="H25" s="54"/>
      <c r="I25" s="54"/>
      <c r="J25" s="257" t="s">
        <v>1013</v>
      </c>
      <c r="K25" s="257" t="s">
        <v>1002</v>
      </c>
      <c r="L25" s="54"/>
      <c r="M25" s="54"/>
      <c r="N25" s="54"/>
      <c r="O25" s="45" t="s">
        <v>1248</v>
      </c>
      <c r="P25" s="54"/>
      <c r="Q25" s="54"/>
      <c r="R25" s="45">
        <v>0.81299999999999994</v>
      </c>
      <c r="S25" s="54"/>
      <c r="T25" s="54"/>
      <c r="U25" s="54"/>
      <c r="V25" s="54"/>
      <c r="W25" s="54"/>
      <c r="X25" s="66">
        <f t="shared" si="0"/>
        <v>0.81299999999999994</v>
      </c>
      <c r="Y25" s="45">
        <v>1492</v>
      </c>
      <c r="Z25" s="192" t="str">
        <f t="shared" si="1"/>
        <v>S</v>
      </c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</row>
    <row r="26" spans="1:38" s="45" customFormat="1">
      <c r="A26" s="53"/>
      <c r="B26" s="290" t="s">
        <v>1276</v>
      </c>
      <c r="C26" s="291">
        <v>1989</v>
      </c>
      <c r="D26" s="66"/>
      <c r="E26" s="60" t="s">
        <v>49</v>
      </c>
      <c r="F26" s="54"/>
      <c r="G26" s="54"/>
      <c r="H26" s="54"/>
      <c r="I26" s="54"/>
      <c r="J26" s="257" t="s">
        <v>1013</v>
      </c>
      <c r="K26" s="257" t="s">
        <v>1002</v>
      </c>
      <c r="L26" s="54"/>
      <c r="M26" s="54"/>
      <c r="N26" s="54"/>
      <c r="O26" s="45" t="s">
        <v>1251</v>
      </c>
      <c r="P26" s="54"/>
      <c r="Q26" s="54"/>
      <c r="R26" s="45">
        <v>0.80500000000000005</v>
      </c>
      <c r="S26" s="54"/>
      <c r="T26" s="54"/>
      <c r="U26" s="54"/>
      <c r="V26" s="54"/>
      <c r="W26" s="54"/>
      <c r="X26" s="66">
        <f t="shared" si="0"/>
        <v>0.80500000000000005</v>
      </c>
      <c r="Y26" s="45">
        <v>1478</v>
      </c>
      <c r="Z26" s="192" t="str">
        <f t="shared" si="1"/>
        <v>S</v>
      </c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</row>
    <row r="27" spans="1:38" s="45" customFormat="1">
      <c r="A27" s="53"/>
      <c r="B27" s="290" t="s">
        <v>1276</v>
      </c>
      <c r="C27" s="291">
        <v>1989</v>
      </c>
      <c r="D27" s="66"/>
      <c r="E27" s="60" t="s">
        <v>49</v>
      </c>
      <c r="F27" s="54"/>
      <c r="G27" s="54"/>
      <c r="H27" s="54"/>
      <c r="I27" s="54"/>
      <c r="J27" s="257" t="s">
        <v>1013</v>
      </c>
      <c r="K27" s="257" t="s">
        <v>1002</v>
      </c>
      <c r="L27" s="54"/>
      <c r="M27" s="54"/>
      <c r="N27" s="54"/>
      <c r="O27" s="45" t="s">
        <v>1236</v>
      </c>
      <c r="P27" s="54"/>
      <c r="Q27" s="54"/>
      <c r="R27" s="45">
        <v>0.8</v>
      </c>
      <c r="S27" s="54"/>
      <c r="T27" s="54"/>
      <c r="U27" s="54"/>
      <c r="V27" s="54"/>
      <c r="W27" s="54"/>
      <c r="X27" s="66">
        <f t="shared" si="0"/>
        <v>0.8</v>
      </c>
      <c r="Y27" s="45">
        <v>1469</v>
      </c>
      <c r="Z27" s="192" t="str">
        <f t="shared" si="1"/>
        <v>S</v>
      </c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</row>
    <row r="28" spans="1:38" s="45" customFormat="1">
      <c r="A28" s="53"/>
      <c r="B28" s="290" t="s">
        <v>1276</v>
      </c>
      <c r="C28" s="291">
        <v>1989</v>
      </c>
      <c r="D28" s="66"/>
      <c r="E28" s="60" t="s">
        <v>49</v>
      </c>
      <c r="F28" s="54"/>
      <c r="G28" s="54"/>
      <c r="H28" s="54"/>
      <c r="I28" s="54"/>
      <c r="J28" s="257" t="s">
        <v>1013</v>
      </c>
      <c r="K28" s="257" t="s">
        <v>1002</v>
      </c>
      <c r="L28" s="54"/>
      <c r="M28" s="54"/>
      <c r="N28" s="54"/>
      <c r="O28" s="45" t="s">
        <v>1241</v>
      </c>
      <c r="P28" s="54"/>
      <c r="Q28" s="54"/>
      <c r="R28" s="45">
        <v>0.79400000000000004</v>
      </c>
      <c r="S28" s="54"/>
      <c r="T28" s="54"/>
      <c r="U28" s="54"/>
      <c r="V28" s="54"/>
      <c r="W28" s="54"/>
      <c r="X28" s="66">
        <f t="shared" si="0"/>
        <v>0.79400000000000004</v>
      </c>
      <c r="Y28" s="45">
        <v>1456</v>
      </c>
      <c r="Z28" s="192" t="str">
        <f t="shared" si="1"/>
        <v>S</v>
      </c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</row>
    <row r="29" spans="1:38" s="45" customFormat="1">
      <c r="A29" s="53"/>
      <c r="B29" s="290" t="s">
        <v>1276</v>
      </c>
      <c r="C29" s="291">
        <v>1989</v>
      </c>
      <c r="D29" s="66"/>
      <c r="E29" s="60" t="s">
        <v>49</v>
      </c>
      <c r="F29" s="54"/>
      <c r="G29" s="54"/>
      <c r="H29" s="54"/>
      <c r="I29" s="54"/>
      <c r="J29" s="257" t="s">
        <v>1013</v>
      </c>
      <c r="K29" s="257" t="s">
        <v>1002</v>
      </c>
      <c r="L29" s="54"/>
      <c r="M29" s="54"/>
      <c r="N29" s="54"/>
      <c r="O29" s="45" t="s">
        <v>1243</v>
      </c>
      <c r="P29" s="54"/>
      <c r="Q29" s="54"/>
      <c r="R29" s="45">
        <v>0.78900000000000003</v>
      </c>
      <c r="S29" s="54"/>
      <c r="T29" s="54"/>
      <c r="U29" s="54"/>
      <c r="V29" s="54"/>
      <c r="W29" s="54"/>
      <c r="X29" s="66">
        <f t="shared" si="0"/>
        <v>0.78900000000000003</v>
      </c>
      <c r="Y29" s="45">
        <v>1448</v>
      </c>
      <c r="Z29" s="192" t="str">
        <f t="shared" si="1"/>
        <v>S</v>
      </c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</row>
    <row r="30" spans="1:38" s="45" customFormat="1">
      <c r="A30" s="53"/>
      <c r="B30" s="290" t="s">
        <v>1276</v>
      </c>
      <c r="C30" s="291">
        <v>1989</v>
      </c>
      <c r="D30" s="66"/>
      <c r="E30" s="60" t="s">
        <v>49</v>
      </c>
      <c r="F30" s="54"/>
      <c r="G30" s="54"/>
      <c r="H30" s="54"/>
      <c r="I30" s="54"/>
      <c r="J30" s="257" t="s">
        <v>1013</v>
      </c>
      <c r="K30" s="257" t="s">
        <v>1002</v>
      </c>
      <c r="L30" s="54"/>
      <c r="M30" s="54"/>
      <c r="N30" s="54"/>
      <c r="O30" s="45" t="s">
        <v>1238</v>
      </c>
      <c r="P30" s="54"/>
      <c r="Q30" s="54"/>
      <c r="R30" s="45">
        <v>0.78400000000000003</v>
      </c>
      <c r="S30" s="54"/>
      <c r="T30" s="54"/>
      <c r="U30" s="54"/>
      <c r="V30" s="54"/>
      <c r="W30" s="54"/>
      <c r="X30" s="66">
        <f t="shared" si="0"/>
        <v>0.78400000000000003</v>
      </c>
      <c r="Y30" s="45">
        <v>1439</v>
      </c>
      <c r="Z30" s="192" t="str">
        <f t="shared" si="1"/>
        <v>S</v>
      </c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</row>
    <row r="31" spans="1:38" s="45" customFormat="1">
      <c r="A31" s="53"/>
      <c r="B31" s="290" t="s">
        <v>1276</v>
      </c>
      <c r="C31" s="291">
        <v>1989</v>
      </c>
      <c r="D31" s="66"/>
      <c r="E31" s="60" t="s">
        <v>49</v>
      </c>
      <c r="F31" s="54"/>
      <c r="G31" s="54"/>
      <c r="H31" s="54"/>
      <c r="I31" s="54"/>
      <c r="J31" s="257" t="s">
        <v>1013</v>
      </c>
      <c r="K31" s="257" t="s">
        <v>1002</v>
      </c>
      <c r="L31" s="54"/>
      <c r="M31" s="54"/>
      <c r="N31" s="54"/>
      <c r="O31" s="45" t="s">
        <v>1244</v>
      </c>
      <c r="P31" s="54"/>
      <c r="Q31" s="54"/>
      <c r="R31" s="45">
        <v>0.77500000000000002</v>
      </c>
      <c r="S31" s="54"/>
      <c r="T31" s="54"/>
      <c r="U31" s="54"/>
      <c r="V31" s="54"/>
      <c r="W31" s="54"/>
      <c r="X31" s="66">
        <f t="shared" si="0"/>
        <v>0.77500000000000002</v>
      </c>
      <c r="Y31" s="45">
        <v>1422</v>
      </c>
      <c r="Z31" s="192" t="str">
        <f t="shared" si="1"/>
        <v>S</v>
      </c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</row>
    <row r="32" spans="1:38" s="45" customFormat="1">
      <c r="A32" s="53"/>
      <c r="B32" s="290" t="s">
        <v>1276</v>
      </c>
      <c r="C32" s="291">
        <v>1989</v>
      </c>
      <c r="D32" s="66"/>
      <c r="E32" s="60" t="s">
        <v>49</v>
      </c>
      <c r="F32" s="54"/>
      <c r="G32" s="54"/>
      <c r="H32" s="54"/>
      <c r="I32" s="54"/>
      <c r="J32" s="257" t="s">
        <v>1013</v>
      </c>
      <c r="K32" s="257" t="s">
        <v>1002</v>
      </c>
      <c r="L32" s="54"/>
      <c r="M32" s="54"/>
      <c r="N32" s="54"/>
      <c r="O32" s="45" t="s">
        <v>1242</v>
      </c>
      <c r="P32" s="54"/>
      <c r="Q32" s="54"/>
      <c r="R32" s="45">
        <v>0.77500000000000002</v>
      </c>
      <c r="S32" s="54"/>
      <c r="T32" s="54"/>
      <c r="U32" s="54"/>
      <c r="V32" s="54"/>
      <c r="W32" s="54"/>
      <c r="X32" s="66">
        <f t="shared" si="0"/>
        <v>0.77500000000000002</v>
      </c>
      <c r="Y32" s="45">
        <v>1423</v>
      </c>
      <c r="Z32" s="192" t="str">
        <f t="shared" si="1"/>
        <v>S</v>
      </c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</row>
    <row r="33" spans="1:38" s="45" customFormat="1">
      <c r="A33" s="53"/>
      <c r="B33" s="290" t="s">
        <v>1276</v>
      </c>
      <c r="C33" s="291">
        <v>1989</v>
      </c>
      <c r="D33" s="66"/>
      <c r="E33" s="60" t="s">
        <v>49</v>
      </c>
      <c r="F33" s="54"/>
      <c r="G33" s="54"/>
      <c r="H33" s="54"/>
      <c r="I33" s="54"/>
      <c r="J33" s="257" t="s">
        <v>1013</v>
      </c>
      <c r="K33" s="257" t="s">
        <v>1002</v>
      </c>
      <c r="L33" s="54"/>
      <c r="M33" s="54"/>
      <c r="N33" s="54"/>
      <c r="O33" s="45" t="s">
        <v>1237</v>
      </c>
      <c r="P33" s="54"/>
      <c r="Q33" s="54"/>
      <c r="R33" s="45">
        <v>0.77</v>
      </c>
      <c r="S33" s="54"/>
      <c r="T33" s="54"/>
      <c r="U33" s="54"/>
      <c r="V33" s="54"/>
      <c r="W33" s="54"/>
      <c r="X33" s="66">
        <f t="shared" si="0"/>
        <v>0.77</v>
      </c>
      <c r="Y33" s="45">
        <v>1413</v>
      </c>
      <c r="Z33" s="192" t="str">
        <f t="shared" si="1"/>
        <v>S</v>
      </c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</row>
    <row r="34" spans="1:38" s="45" customFormat="1">
      <c r="A34" s="53"/>
      <c r="B34" s="290" t="s">
        <v>1276</v>
      </c>
      <c r="C34" s="291">
        <v>1989</v>
      </c>
      <c r="D34" s="66"/>
      <c r="E34" s="60" t="s">
        <v>49</v>
      </c>
      <c r="F34" s="54"/>
      <c r="G34" s="54"/>
      <c r="H34" s="54"/>
      <c r="I34" s="54"/>
      <c r="J34" s="257" t="s">
        <v>1013</v>
      </c>
      <c r="K34" s="257" t="s">
        <v>1002</v>
      </c>
      <c r="L34" s="54"/>
      <c r="M34" s="54"/>
      <c r="N34" s="54"/>
      <c r="O34" s="45" t="s">
        <v>1245</v>
      </c>
      <c r="P34" s="54"/>
      <c r="Q34" s="54"/>
      <c r="R34" s="45">
        <v>0.73</v>
      </c>
      <c r="S34" s="54"/>
      <c r="T34" s="54"/>
      <c r="U34" s="54"/>
      <c r="V34" s="54"/>
      <c r="W34" s="54"/>
      <c r="X34" s="66">
        <f t="shared" si="0"/>
        <v>0.73</v>
      </c>
      <c r="Y34" s="45">
        <v>1339</v>
      </c>
      <c r="Z34" s="192" t="str">
        <f t="shared" ref="Z34:Z65" si="2">IF(X34&lt;&gt;"",IF(X34&lt;0.9,"S","F"),"")</f>
        <v>S</v>
      </c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</row>
    <row r="35" spans="1:38" s="45" customFormat="1">
      <c r="A35" s="53"/>
      <c r="B35" s="290" t="s">
        <v>1276</v>
      </c>
      <c r="C35" s="291">
        <v>1989</v>
      </c>
      <c r="D35" s="66"/>
      <c r="E35" s="60" t="s">
        <v>49</v>
      </c>
      <c r="F35" s="54"/>
      <c r="G35" s="54"/>
      <c r="H35" s="54"/>
      <c r="I35" s="54"/>
      <c r="J35" s="257" t="s">
        <v>1013</v>
      </c>
      <c r="K35" s="257" t="s">
        <v>1002</v>
      </c>
      <c r="L35" s="54"/>
      <c r="M35" s="54"/>
      <c r="N35" s="54"/>
      <c r="O35" s="45" t="s">
        <v>1246</v>
      </c>
      <c r="P35" s="54"/>
      <c r="Q35" s="54"/>
      <c r="R35" s="45">
        <v>0.72899999999999998</v>
      </c>
      <c r="S35" s="54"/>
      <c r="T35" s="54"/>
      <c r="U35" s="54"/>
      <c r="V35" s="54"/>
      <c r="W35" s="54"/>
      <c r="X35" s="66">
        <f t="shared" si="0"/>
        <v>0.72899999999999998</v>
      </c>
      <c r="Y35" s="45">
        <v>1338</v>
      </c>
      <c r="Z35" s="192" t="str">
        <f t="shared" si="2"/>
        <v>S</v>
      </c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</row>
    <row r="36" spans="1:38" s="45" customFormat="1">
      <c r="A36" s="53"/>
      <c r="B36" s="290" t="s">
        <v>1276</v>
      </c>
      <c r="C36" s="291">
        <v>1989</v>
      </c>
      <c r="D36" s="66"/>
      <c r="E36" s="60" t="s">
        <v>49</v>
      </c>
      <c r="F36" s="54"/>
      <c r="G36" s="54"/>
      <c r="H36" s="54"/>
      <c r="I36" s="54"/>
      <c r="J36" s="257" t="s">
        <v>1013</v>
      </c>
      <c r="K36" s="257" t="s">
        <v>1002</v>
      </c>
      <c r="L36" s="54"/>
      <c r="M36" s="54"/>
      <c r="N36" s="54"/>
      <c r="O36" s="45" t="s">
        <v>1239</v>
      </c>
      <c r="P36" s="54"/>
      <c r="Q36" s="54"/>
      <c r="R36" s="45">
        <v>0.64300000000000002</v>
      </c>
      <c r="S36" s="54"/>
      <c r="T36" s="54"/>
      <c r="U36" s="54"/>
      <c r="V36" s="54"/>
      <c r="W36" s="54"/>
      <c r="X36" s="66">
        <f t="shared" si="0"/>
        <v>0.64300000000000002</v>
      </c>
      <c r="Y36" s="45">
        <v>1180</v>
      </c>
      <c r="Z36" s="192" t="str">
        <f t="shared" si="2"/>
        <v>S</v>
      </c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</row>
    <row r="37" spans="1:38" s="107" customFormat="1">
      <c r="A37" s="97">
        <v>63</v>
      </c>
      <c r="B37" s="103" t="s">
        <v>168</v>
      </c>
      <c r="C37" s="103">
        <v>1989</v>
      </c>
      <c r="D37" s="103" t="s">
        <v>169</v>
      </c>
      <c r="E37" s="99" t="s">
        <v>172</v>
      </c>
      <c r="F37" s="127">
        <v>32022</v>
      </c>
      <c r="G37" s="98" t="s">
        <v>176</v>
      </c>
      <c r="H37" s="98" t="s">
        <v>95</v>
      </c>
      <c r="I37" s="98" t="s">
        <v>1014</v>
      </c>
      <c r="J37" s="101" t="s">
        <v>1013</v>
      </c>
      <c r="K37" s="98" t="s">
        <v>1042</v>
      </c>
      <c r="L37" s="98" t="s">
        <v>177</v>
      </c>
      <c r="M37" s="98"/>
      <c r="N37" s="98"/>
      <c r="O37" s="98" t="s">
        <v>178</v>
      </c>
      <c r="P37" s="98"/>
      <c r="Q37" s="98"/>
      <c r="R37" s="98"/>
      <c r="S37" s="98"/>
      <c r="T37" s="98"/>
      <c r="U37" s="98"/>
      <c r="V37" s="98"/>
      <c r="W37" s="98"/>
      <c r="X37" s="101" t="str">
        <f t="shared" si="0"/>
        <v/>
      </c>
      <c r="Y37" s="111">
        <v>1626</v>
      </c>
      <c r="Z37" s="106" t="str">
        <f t="shared" si="2"/>
        <v/>
      </c>
      <c r="AA37" s="190"/>
      <c r="AB37" s="190" t="s">
        <v>1206</v>
      </c>
      <c r="AC37" s="190" t="s">
        <v>1207</v>
      </c>
      <c r="AD37" s="190" t="s">
        <v>1208</v>
      </c>
      <c r="AE37" s="190" t="s">
        <v>1209</v>
      </c>
      <c r="AF37" s="190" t="s">
        <v>1210</v>
      </c>
      <c r="AG37" s="190" t="s">
        <v>1211</v>
      </c>
      <c r="AH37" s="174"/>
      <c r="AI37" s="174"/>
      <c r="AJ37" s="174"/>
      <c r="AK37" s="174"/>
      <c r="AL37" s="174"/>
    </row>
    <row r="38" spans="1:38" s="107" customFormat="1">
      <c r="A38" s="97">
        <v>63</v>
      </c>
      <c r="B38" s="103" t="s">
        <v>168</v>
      </c>
      <c r="C38" s="103">
        <v>1989</v>
      </c>
      <c r="D38" s="103" t="s">
        <v>169</v>
      </c>
      <c r="E38" s="99" t="s">
        <v>172</v>
      </c>
      <c r="F38" s="98" t="s">
        <v>179</v>
      </c>
      <c r="G38" s="98" t="s">
        <v>153</v>
      </c>
      <c r="H38" s="98" t="s">
        <v>95</v>
      </c>
      <c r="I38" s="98" t="s">
        <v>1014</v>
      </c>
      <c r="J38" s="101" t="s">
        <v>1013</v>
      </c>
      <c r="K38" s="98" t="s">
        <v>1042</v>
      </c>
      <c r="L38" s="98" t="s">
        <v>180</v>
      </c>
      <c r="M38" s="98"/>
      <c r="N38" s="98"/>
      <c r="O38" s="98" t="s">
        <v>155</v>
      </c>
      <c r="P38" s="98"/>
      <c r="Q38" s="98"/>
      <c r="R38" s="98"/>
      <c r="S38" s="98"/>
      <c r="T38" s="98"/>
      <c r="U38" s="98"/>
      <c r="V38" s="98"/>
      <c r="W38" s="98"/>
      <c r="X38" s="101" t="str">
        <f t="shared" si="0"/>
        <v/>
      </c>
      <c r="Y38" s="111">
        <v>1637</v>
      </c>
      <c r="Z38" s="106" t="str">
        <f t="shared" si="2"/>
        <v/>
      </c>
      <c r="AA38" s="190" t="s">
        <v>1316</v>
      </c>
      <c r="AB38" s="190">
        <f>AVERAGE($Y$39:$Y$42)</f>
        <v>1675</v>
      </c>
      <c r="AC38" s="190">
        <f>MEDIAN($Y$39:$Y$42)</f>
        <v>1687</v>
      </c>
      <c r="AD38" s="190">
        <f>MAX($Y$39:$Y$42)</f>
        <v>1727</v>
      </c>
      <c r="AE38" s="190">
        <f>MIN($Y$39:$Y$42)</f>
        <v>1599</v>
      </c>
      <c r="AF38" s="190">
        <f>STDEV($Y$39:$Y$42)</f>
        <v>54.674796143500465</v>
      </c>
      <c r="AG38" s="190">
        <f>COUNT($Y$39:$Y$42)</f>
        <v>4</v>
      </c>
      <c r="AH38" s="174"/>
      <c r="AI38" s="174"/>
      <c r="AJ38" s="174"/>
      <c r="AK38" s="174"/>
      <c r="AL38" s="174"/>
    </row>
    <row r="39" spans="1:38" s="107" customFormat="1">
      <c r="A39" s="97"/>
      <c r="B39" s="258" t="s">
        <v>1276</v>
      </c>
      <c r="C39" s="259">
        <v>1989</v>
      </c>
      <c r="D39" s="101"/>
      <c r="E39" s="103" t="s">
        <v>49</v>
      </c>
      <c r="F39" s="98"/>
      <c r="G39" s="98"/>
      <c r="H39" s="98"/>
      <c r="I39" s="98"/>
      <c r="J39" s="292" t="s">
        <v>1013</v>
      </c>
      <c r="K39" s="292" t="s">
        <v>1257</v>
      </c>
      <c r="L39" s="98"/>
      <c r="M39" s="98"/>
      <c r="N39" s="98"/>
      <c r="O39" s="107" t="s">
        <v>1260</v>
      </c>
      <c r="P39" s="98"/>
      <c r="Q39" s="98"/>
      <c r="R39" s="107">
        <v>0.94099999999999995</v>
      </c>
      <c r="S39" s="98"/>
      <c r="T39" s="98"/>
      <c r="U39" s="98"/>
      <c r="V39" s="98"/>
      <c r="W39" s="98"/>
      <c r="X39" s="101">
        <f t="shared" si="0"/>
        <v>0.94099999999999995</v>
      </c>
      <c r="Y39" s="107">
        <v>1727</v>
      </c>
      <c r="Z39" s="106" t="str">
        <f t="shared" si="2"/>
        <v>F</v>
      </c>
      <c r="AA39" s="190" t="s">
        <v>1317</v>
      </c>
      <c r="AB39" s="190">
        <f>AVERAGE($Y$43:$Y$48)</f>
        <v>1566</v>
      </c>
      <c r="AC39" s="190">
        <f>MEDIAN($Y$43:$Y$48)</f>
        <v>1544</v>
      </c>
      <c r="AD39" s="190">
        <f>MAX($Y$43:$Y$48)</f>
        <v>1640</v>
      </c>
      <c r="AE39" s="190">
        <f>MIN($Y$43:$Y$48)</f>
        <v>1523</v>
      </c>
      <c r="AF39" s="190">
        <f>STDEV($Y$43:$Y$48)</f>
        <v>50.039984012787215</v>
      </c>
      <c r="AG39" s="190">
        <f>COUNT($Y$43:$Y$48)</f>
        <v>6</v>
      </c>
      <c r="AH39" s="174" t="s">
        <v>1315</v>
      </c>
      <c r="AI39" s="174"/>
      <c r="AJ39" s="174"/>
      <c r="AK39" s="174"/>
      <c r="AL39" s="174"/>
    </row>
    <row r="40" spans="1:38" s="107" customFormat="1">
      <c r="A40" s="97"/>
      <c r="B40" s="258" t="s">
        <v>1276</v>
      </c>
      <c r="C40" s="259">
        <v>1989</v>
      </c>
      <c r="D40" s="101"/>
      <c r="E40" s="103" t="s">
        <v>49</v>
      </c>
      <c r="F40" s="98"/>
      <c r="G40" s="98"/>
      <c r="H40" s="98"/>
      <c r="I40" s="98"/>
      <c r="J40" s="292" t="s">
        <v>1013</v>
      </c>
      <c r="K40" s="292" t="s">
        <v>1257</v>
      </c>
      <c r="L40" s="98"/>
      <c r="M40" s="98"/>
      <c r="N40" s="98"/>
      <c r="O40" s="107" t="s">
        <v>1259</v>
      </c>
      <c r="P40" s="98"/>
      <c r="Q40" s="98"/>
      <c r="R40" s="107">
        <v>0.92500000000000004</v>
      </c>
      <c r="S40" s="98"/>
      <c r="T40" s="98"/>
      <c r="U40" s="98"/>
      <c r="V40" s="98"/>
      <c r="W40" s="98"/>
      <c r="X40" s="101">
        <f t="shared" si="0"/>
        <v>0.92500000000000004</v>
      </c>
      <c r="Y40" s="107">
        <v>1697</v>
      </c>
      <c r="Z40" s="106" t="str">
        <f t="shared" si="2"/>
        <v>F</v>
      </c>
      <c r="AA40" s="174" t="s">
        <v>1318</v>
      </c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1:38" s="107" customFormat="1">
      <c r="A41" s="97"/>
      <c r="B41" s="258" t="s">
        <v>1276</v>
      </c>
      <c r="C41" s="259">
        <v>1989</v>
      </c>
      <c r="D41" s="101"/>
      <c r="E41" s="103" t="s">
        <v>49</v>
      </c>
      <c r="F41" s="98"/>
      <c r="G41" s="98"/>
      <c r="H41" s="98"/>
      <c r="I41" s="98"/>
      <c r="J41" s="292" t="s">
        <v>1013</v>
      </c>
      <c r="K41" s="292" t="s">
        <v>1257</v>
      </c>
      <c r="L41" s="98"/>
      <c r="M41" s="98"/>
      <c r="N41" s="98"/>
      <c r="O41" s="107" t="s">
        <v>1258</v>
      </c>
      <c r="P41" s="98"/>
      <c r="Q41" s="98"/>
      <c r="R41" s="107">
        <v>0.91400000000000003</v>
      </c>
      <c r="S41" s="98"/>
      <c r="T41" s="98"/>
      <c r="U41" s="98"/>
      <c r="V41" s="98"/>
      <c r="W41" s="98"/>
      <c r="X41" s="101">
        <f t="shared" si="0"/>
        <v>0.91400000000000003</v>
      </c>
      <c r="Y41" s="107">
        <v>1677</v>
      </c>
      <c r="Z41" s="106" t="str">
        <f t="shared" si="2"/>
        <v>F</v>
      </c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1:38" s="107" customFormat="1">
      <c r="A42" s="97">
        <v>173</v>
      </c>
      <c r="B42" s="98" t="s">
        <v>585</v>
      </c>
      <c r="C42" s="98">
        <v>2011</v>
      </c>
      <c r="D42" s="108" t="s">
        <v>636</v>
      </c>
      <c r="E42" s="99" t="s">
        <v>638</v>
      </c>
      <c r="F42" s="100" t="s">
        <v>656</v>
      </c>
      <c r="G42" s="98" t="s">
        <v>657</v>
      </c>
      <c r="H42" s="98" t="s">
        <v>146</v>
      </c>
      <c r="I42" s="98"/>
      <c r="J42" s="101" t="s">
        <v>1013</v>
      </c>
      <c r="K42" s="98" t="s">
        <v>1082</v>
      </c>
      <c r="L42" s="98" t="s">
        <v>658</v>
      </c>
      <c r="M42" s="109"/>
      <c r="N42" s="109"/>
      <c r="O42" s="98" t="s">
        <v>659</v>
      </c>
      <c r="P42" s="103"/>
      <c r="Q42" s="103"/>
      <c r="R42" s="98"/>
      <c r="S42" s="98"/>
      <c r="T42" s="98"/>
      <c r="U42" s="104">
        <v>0.91300000000000003</v>
      </c>
      <c r="V42" s="175"/>
      <c r="W42" s="175"/>
      <c r="X42" s="101">
        <f t="shared" si="0"/>
        <v>0.91300000000000003</v>
      </c>
      <c r="Y42" s="221">
        <v>1599</v>
      </c>
      <c r="Z42" s="106" t="str">
        <f t="shared" si="2"/>
        <v>F</v>
      </c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1:38" s="107" customFormat="1">
      <c r="A43" s="97"/>
      <c r="B43" s="258" t="s">
        <v>1276</v>
      </c>
      <c r="C43" s="259">
        <v>1989</v>
      </c>
      <c r="D43" s="101"/>
      <c r="E43" s="103" t="s">
        <v>49</v>
      </c>
      <c r="F43" s="98"/>
      <c r="G43" s="98"/>
      <c r="H43" s="98"/>
      <c r="I43" s="98"/>
      <c r="J43" s="292" t="s">
        <v>1013</v>
      </c>
      <c r="K43" s="292" t="s">
        <v>1257</v>
      </c>
      <c r="L43" s="98"/>
      <c r="M43" s="98"/>
      <c r="N43" s="98"/>
      <c r="O43" s="107" t="s">
        <v>1265</v>
      </c>
      <c r="P43" s="98"/>
      <c r="Q43" s="98"/>
      <c r="R43" s="107">
        <v>0.89300000000000002</v>
      </c>
      <c r="S43" s="98"/>
      <c r="T43" s="98"/>
      <c r="U43" s="98"/>
      <c r="V43" s="98"/>
      <c r="W43" s="98"/>
      <c r="X43" s="101">
        <f t="shared" si="0"/>
        <v>0.89300000000000002</v>
      </c>
      <c r="Y43" s="107">
        <v>1640</v>
      </c>
      <c r="Z43" s="106" t="str">
        <f t="shared" si="2"/>
        <v>S</v>
      </c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1:38" s="107" customFormat="1">
      <c r="A44" s="97">
        <v>173</v>
      </c>
      <c r="B44" s="98" t="s">
        <v>585</v>
      </c>
      <c r="C44" s="98">
        <v>2011</v>
      </c>
      <c r="D44" s="108" t="s">
        <v>636</v>
      </c>
      <c r="E44" s="99" t="s">
        <v>638</v>
      </c>
      <c r="F44" s="100" t="s">
        <v>656</v>
      </c>
      <c r="G44" s="98" t="s">
        <v>657</v>
      </c>
      <c r="H44" s="98" t="s">
        <v>146</v>
      </c>
      <c r="I44" s="98"/>
      <c r="J44" s="101" t="s">
        <v>1013</v>
      </c>
      <c r="K44" s="98" t="s">
        <v>1082</v>
      </c>
      <c r="L44" s="98" t="s">
        <v>660</v>
      </c>
      <c r="M44" s="109"/>
      <c r="N44" s="109"/>
      <c r="O44" s="98" t="s">
        <v>661</v>
      </c>
      <c r="P44" s="103"/>
      <c r="Q44" s="103"/>
      <c r="R44" s="98"/>
      <c r="S44" s="98"/>
      <c r="T44" s="98"/>
      <c r="U44" s="104">
        <v>0.88500000000000001</v>
      </c>
      <c r="V44" s="175"/>
      <c r="W44" s="175"/>
      <c r="X44" s="101">
        <f t="shared" si="0"/>
        <v>0.88500000000000001</v>
      </c>
      <c r="Y44" s="221">
        <v>1523</v>
      </c>
      <c r="Z44" s="106" t="str">
        <f t="shared" si="2"/>
        <v>S</v>
      </c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1:38" s="107" customFormat="1">
      <c r="A45" s="97"/>
      <c r="B45" s="258" t="s">
        <v>1276</v>
      </c>
      <c r="C45" s="259">
        <v>1989</v>
      </c>
      <c r="D45" s="101"/>
      <c r="E45" s="103" t="s">
        <v>49</v>
      </c>
      <c r="F45" s="98"/>
      <c r="G45" s="98"/>
      <c r="H45" s="98"/>
      <c r="I45" s="98"/>
      <c r="J45" s="292" t="s">
        <v>1013</v>
      </c>
      <c r="K45" s="292" t="s">
        <v>1257</v>
      </c>
      <c r="L45" s="98"/>
      <c r="M45" s="98"/>
      <c r="N45" s="98"/>
      <c r="O45" s="107" t="s">
        <v>1266</v>
      </c>
      <c r="P45" s="98"/>
      <c r="Q45" s="98"/>
      <c r="R45" s="107">
        <v>0.88200000000000001</v>
      </c>
      <c r="S45" s="98"/>
      <c r="T45" s="98"/>
      <c r="U45" s="98"/>
      <c r="V45" s="98"/>
      <c r="W45" s="98"/>
      <c r="X45" s="101">
        <f t="shared" si="0"/>
        <v>0.88200000000000001</v>
      </c>
      <c r="Y45" s="107">
        <v>1618</v>
      </c>
      <c r="Z45" s="106" t="str">
        <f t="shared" si="2"/>
        <v>S</v>
      </c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1:38" s="107" customFormat="1">
      <c r="A46" s="97"/>
      <c r="B46" s="258" t="s">
        <v>1276</v>
      </c>
      <c r="C46" s="259">
        <v>1989</v>
      </c>
      <c r="D46" s="101"/>
      <c r="E46" s="103" t="s">
        <v>49</v>
      </c>
      <c r="F46" s="98"/>
      <c r="G46" s="98"/>
      <c r="H46" s="98"/>
      <c r="I46" s="98"/>
      <c r="J46" s="292" t="s">
        <v>1013</v>
      </c>
      <c r="K46" s="292" t="s">
        <v>1257</v>
      </c>
      <c r="L46" s="98"/>
      <c r="M46" s="98"/>
      <c r="N46" s="98"/>
      <c r="O46" s="107" t="s">
        <v>1264</v>
      </c>
      <c r="P46" s="98"/>
      <c r="Q46" s="98"/>
      <c r="R46" s="107">
        <v>0.84199999999999997</v>
      </c>
      <c r="S46" s="98"/>
      <c r="T46" s="98"/>
      <c r="U46" s="98"/>
      <c r="V46" s="98"/>
      <c r="W46" s="98"/>
      <c r="X46" s="101">
        <f t="shared" si="0"/>
        <v>0.84199999999999997</v>
      </c>
      <c r="Y46" s="107">
        <v>1545</v>
      </c>
      <c r="Z46" s="106" t="str">
        <f t="shared" si="2"/>
        <v>S</v>
      </c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</row>
    <row r="47" spans="1:38" s="107" customFormat="1">
      <c r="A47" s="97"/>
      <c r="B47" s="258" t="s">
        <v>1276</v>
      </c>
      <c r="C47" s="259">
        <v>1989</v>
      </c>
      <c r="D47" s="101"/>
      <c r="E47" s="103" t="s">
        <v>49</v>
      </c>
      <c r="F47" s="98"/>
      <c r="G47" s="98"/>
      <c r="H47" s="98"/>
      <c r="I47" s="98"/>
      <c r="J47" s="292" t="s">
        <v>1013</v>
      </c>
      <c r="K47" s="292" t="s">
        <v>1257</v>
      </c>
      <c r="L47" s="98"/>
      <c r="M47" s="98"/>
      <c r="N47" s="98"/>
      <c r="O47" s="107" t="s">
        <v>1262</v>
      </c>
      <c r="P47" s="98"/>
      <c r="Q47" s="98"/>
      <c r="R47" s="107">
        <v>0.84099999999999997</v>
      </c>
      <c r="S47" s="98"/>
      <c r="T47" s="98"/>
      <c r="U47" s="98"/>
      <c r="V47" s="98"/>
      <c r="W47" s="98"/>
      <c r="X47" s="101">
        <f t="shared" si="0"/>
        <v>0.84099999999999997</v>
      </c>
      <c r="Y47" s="107">
        <v>1543</v>
      </c>
      <c r="Z47" s="106" t="str">
        <f t="shared" si="2"/>
        <v>S</v>
      </c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1:38" s="107" customFormat="1">
      <c r="A48" s="97"/>
      <c r="B48" s="258" t="s">
        <v>1276</v>
      </c>
      <c r="C48" s="259">
        <v>1989</v>
      </c>
      <c r="D48" s="101"/>
      <c r="E48" s="103" t="s">
        <v>49</v>
      </c>
      <c r="F48" s="98"/>
      <c r="G48" s="98"/>
      <c r="H48" s="98"/>
      <c r="I48" s="98"/>
      <c r="J48" s="292" t="s">
        <v>1013</v>
      </c>
      <c r="K48" s="292" t="s">
        <v>1257</v>
      </c>
      <c r="L48" s="98"/>
      <c r="M48" s="98"/>
      <c r="N48" s="98"/>
      <c r="O48" s="107" t="s">
        <v>1263</v>
      </c>
      <c r="P48" s="98"/>
      <c r="Q48" s="98"/>
      <c r="R48" s="107">
        <v>0.83199999999999996</v>
      </c>
      <c r="S48" s="98"/>
      <c r="T48" s="98"/>
      <c r="U48" s="98"/>
      <c r="V48" s="98"/>
      <c r="W48" s="98"/>
      <c r="X48" s="101">
        <f t="shared" si="0"/>
        <v>0.83199999999999996</v>
      </c>
      <c r="Y48" s="107">
        <v>1527</v>
      </c>
      <c r="Z48" s="106" t="str">
        <f t="shared" si="2"/>
        <v>S</v>
      </c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1:38" s="107" customFormat="1">
      <c r="A49" s="97"/>
      <c r="B49" s="258" t="s">
        <v>1276</v>
      </c>
      <c r="C49" s="259">
        <v>1989</v>
      </c>
      <c r="D49" s="101"/>
      <c r="E49" s="103" t="s">
        <v>49</v>
      </c>
      <c r="F49" s="98"/>
      <c r="G49" s="98"/>
      <c r="H49" s="98"/>
      <c r="I49" s="98"/>
      <c r="J49" s="292" t="s">
        <v>1013</v>
      </c>
      <c r="K49" s="292" t="s">
        <v>1257</v>
      </c>
      <c r="L49" s="98"/>
      <c r="M49" s="98"/>
      <c r="N49" s="98"/>
      <c r="O49" s="107" t="s">
        <v>1261</v>
      </c>
      <c r="P49" s="98"/>
      <c r="Q49" s="98"/>
      <c r="R49" s="107">
        <v>0.75600000000000001</v>
      </c>
      <c r="S49" s="98"/>
      <c r="T49" s="98"/>
      <c r="U49" s="98"/>
      <c r="V49" s="98"/>
      <c r="W49" s="98"/>
      <c r="X49" s="101">
        <f t="shared" si="0"/>
        <v>0.75600000000000001</v>
      </c>
      <c r="Y49" s="107">
        <v>1386</v>
      </c>
      <c r="Z49" s="106" t="str">
        <f t="shared" si="2"/>
        <v>S</v>
      </c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1:38" s="45" customFormat="1">
      <c r="A50" s="172"/>
      <c r="B50" s="73" t="s">
        <v>766</v>
      </c>
      <c r="C50" s="54">
        <v>2013</v>
      </c>
      <c r="D50" s="66"/>
      <c r="E50" s="56" t="s">
        <v>172</v>
      </c>
      <c r="F50" s="54">
        <v>2011</v>
      </c>
      <c r="G50" s="54" t="s">
        <v>631</v>
      </c>
      <c r="H50" s="66" t="s">
        <v>159</v>
      </c>
      <c r="I50" s="66" t="s">
        <v>1014</v>
      </c>
      <c r="J50" s="74" t="s">
        <v>1013</v>
      </c>
      <c r="K50" s="54" t="s">
        <v>1091</v>
      </c>
      <c r="L50" s="54" t="s">
        <v>974</v>
      </c>
      <c r="M50" s="172"/>
      <c r="N50" s="172"/>
      <c r="O50" s="66" t="s">
        <v>972</v>
      </c>
      <c r="P50" s="172"/>
      <c r="Q50" s="172"/>
      <c r="R50" s="172"/>
      <c r="S50" s="172"/>
      <c r="T50" s="172"/>
      <c r="U50" s="54">
        <v>0.84499999999999997</v>
      </c>
      <c r="V50" s="172"/>
      <c r="W50" s="172"/>
      <c r="X50" s="66">
        <f t="shared" si="0"/>
        <v>0.84499999999999997</v>
      </c>
      <c r="Y50" s="72">
        <v>1527</v>
      </c>
      <c r="Z50" s="192" t="str">
        <f t="shared" si="2"/>
        <v>S</v>
      </c>
      <c r="AA50" s="196"/>
      <c r="AB50" s="196" t="s">
        <v>1206</v>
      </c>
      <c r="AC50" s="196" t="s">
        <v>1207</v>
      </c>
      <c r="AD50" s="196" t="s">
        <v>1208</v>
      </c>
      <c r="AE50" s="196" t="s">
        <v>1209</v>
      </c>
      <c r="AF50" s="196" t="s">
        <v>1210</v>
      </c>
      <c r="AG50" s="196" t="s">
        <v>1211</v>
      </c>
      <c r="AH50" s="172"/>
      <c r="AI50" s="172"/>
      <c r="AJ50" s="172"/>
      <c r="AK50" s="172"/>
      <c r="AL50" s="172"/>
    </row>
    <row r="51" spans="1:38" s="45" customFormat="1">
      <c r="A51" s="172"/>
      <c r="B51" s="73" t="s">
        <v>766</v>
      </c>
      <c r="C51" s="54">
        <v>2013</v>
      </c>
      <c r="D51" s="66"/>
      <c r="E51" s="56" t="s">
        <v>172</v>
      </c>
      <c r="F51" s="54">
        <v>2011</v>
      </c>
      <c r="G51" s="54" t="s">
        <v>631</v>
      </c>
      <c r="H51" s="66" t="s">
        <v>159</v>
      </c>
      <c r="I51" s="66" t="s">
        <v>1014</v>
      </c>
      <c r="J51" s="74" t="s">
        <v>1013</v>
      </c>
      <c r="K51" s="54" t="s">
        <v>1091</v>
      </c>
      <c r="L51" s="54" t="s">
        <v>974</v>
      </c>
      <c r="M51" s="172"/>
      <c r="N51" s="172"/>
      <c r="O51" s="66" t="s">
        <v>972</v>
      </c>
      <c r="P51" s="172"/>
      <c r="Q51" s="172"/>
      <c r="R51" s="172"/>
      <c r="S51" s="172"/>
      <c r="T51" s="172"/>
      <c r="U51" s="54">
        <v>0.84899999999999998</v>
      </c>
      <c r="V51" s="172"/>
      <c r="W51" s="172"/>
      <c r="X51" s="66">
        <f t="shared" si="0"/>
        <v>0.84899999999999998</v>
      </c>
      <c r="Y51" s="72">
        <v>1528</v>
      </c>
      <c r="Z51" s="192" t="str">
        <f t="shared" si="2"/>
        <v>S</v>
      </c>
      <c r="AA51" s="293" t="s">
        <v>1319</v>
      </c>
      <c r="AB51" s="300">
        <f>AVERAGE($Y$93:$Y$108)</f>
        <v>1632.4375</v>
      </c>
      <c r="AC51" s="300">
        <f>MEDIAN($Y$93:$Y$108)</f>
        <v>1640</v>
      </c>
      <c r="AD51" s="300">
        <f>MAX($Y$93:$Y$108)</f>
        <v>1716</v>
      </c>
      <c r="AE51" s="300">
        <f>MIN($Y$93:$Y$108)</f>
        <v>1528</v>
      </c>
      <c r="AF51" s="300">
        <f>STDEV($Y$93:$Y$108)</f>
        <v>49.362561724448618</v>
      </c>
      <c r="AG51" s="300">
        <f>COUNT($Y$93:$Y$108)</f>
        <v>16</v>
      </c>
      <c r="AH51" s="172"/>
      <c r="AI51" s="172"/>
      <c r="AJ51" s="172"/>
      <c r="AK51" s="172"/>
      <c r="AL51" s="172"/>
    </row>
    <row r="52" spans="1:38" s="45" customFormat="1">
      <c r="A52" s="172"/>
      <c r="B52" s="73" t="s">
        <v>766</v>
      </c>
      <c r="C52" s="54">
        <v>2013</v>
      </c>
      <c r="D52" s="66"/>
      <c r="E52" s="56" t="s">
        <v>172</v>
      </c>
      <c r="F52" s="54">
        <v>2011</v>
      </c>
      <c r="G52" s="54" t="s">
        <v>631</v>
      </c>
      <c r="H52" s="66" t="s">
        <v>159</v>
      </c>
      <c r="I52" s="66" t="s">
        <v>1014</v>
      </c>
      <c r="J52" s="74" t="s">
        <v>1013</v>
      </c>
      <c r="K52" s="54" t="s">
        <v>1091</v>
      </c>
      <c r="L52" s="54" t="s">
        <v>978</v>
      </c>
      <c r="M52" s="172"/>
      <c r="N52" s="172"/>
      <c r="O52" s="66" t="s">
        <v>977</v>
      </c>
      <c r="P52" s="172"/>
      <c r="Q52" s="172"/>
      <c r="R52" s="172"/>
      <c r="S52" s="172"/>
      <c r="T52" s="172"/>
      <c r="U52" s="54">
        <v>0.86299999999999999</v>
      </c>
      <c r="V52" s="172"/>
      <c r="W52" s="172"/>
      <c r="X52" s="66">
        <f t="shared" si="0"/>
        <v>0.86299999999999999</v>
      </c>
      <c r="Y52" s="72">
        <v>1562</v>
      </c>
      <c r="Z52" s="192" t="str">
        <f t="shared" si="2"/>
        <v>S</v>
      </c>
      <c r="AA52" s="293" t="s">
        <v>1320</v>
      </c>
      <c r="AB52" s="198">
        <f>AVERAGE($Y$50:$Y$92)</f>
        <v>1594.1860465116279</v>
      </c>
      <c r="AC52" s="198">
        <f>MEDIAN($Y$50:$Y$92)</f>
        <v>1592</v>
      </c>
      <c r="AD52" s="198">
        <f>MAX($Y$50:$Y$92)</f>
        <v>1656</v>
      </c>
      <c r="AE52" s="198">
        <f>MIN($Y$50:$Y$92)</f>
        <v>1527</v>
      </c>
      <c r="AF52" s="198">
        <f>STDEV($Y$50:$Y$92)</f>
        <v>27.072438817394975</v>
      </c>
      <c r="AG52" s="198">
        <f>COUNT($Y$50:$Y$92)</f>
        <v>43</v>
      </c>
      <c r="AH52" s="172"/>
      <c r="AI52" s="172"/>
      <c r="AJ52" s="172"/>
      <c r="AK52" s="172"/>
      <c r="AL52" s="172"/>
    </row>
    <row r="53" spans="1:38" s="45" customFormat="1">
      <c r="A53" s="172"/>
      <c r="B53" s="73" t="s">
        <v>766</v>
      </c>
      <c r="C53" s="54">
        <v>2013</v>
      </c>
      <c r="D53" s="66"/>
      <c r="E53" s="56" t="s">
        <v>172</v>
      </c>
      <c r="F53" s="54">
        <v>2011</v>
      </c>
      <c r="G53" s="54" t="s">
        <v>631</v>
      </c>
      <c r="H53" s="66" t="s">
        <v>159</v>
      </c>
      <c r="I53" s="66" t="s">
        <v>1014</v>
      </c>
      <c r="J53" s="74" t="s">
        <v>1013</v>
      </c>
      <c r="K53" s="54" t="s">
        <v>1091</v>
      </c>
      <c r="L53" s="54" t="s">
        <v>978</v>
      </c>
      <c r="M53" s="172"/>
      <c r="N53" s="172"/>
      <c r="O53" s="66" t="s">
        <v>977</v>
      </c>
      <c r="P53" s="172"/>
      <c r="Q53" s="172"/>
      <c r="R53" s="172"/>
      <c r="S53" s="172"/>
      <c r="T53" s="172"/>
      <c r="U53" s="54">
        <v>0.86299999999999999</v>
      </c>
      <c r="V53" s="172"/>
      <c r="W53" s="172"/>
      <c r="X53" s="66">
        <f t="shared" si="0"/>
        <v>0.86299999999999999</v>
      </c>
      <c r="Y53" s="72">
        <v>1562</v>
      </c>
      <c r="Z53" s="192" t="str">
        <f t="shared" si="2"/>
        <v>S</v>
      </c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</row>
    <row r="54" spans="1:38" s="45" customFormat="1">
      <c r="A54" s="172"/>
      <c r="B54" s="73" t="s">
        <v>766</v>
      </c>
      <c r="C54" s="54">
        <v>2013</v>
      </c>
      <c r="D54" s="66"/>
      <c r="E54" s="56" t="s">
        <v>172</v>
      </c>
      <c r="F54" s="54">
        <v>2011</v>
      </c>
      <c r="G54" s="54" t="s">
        <v>631</v>
      </c>
      <c r="H54" s="66" t="s">
        <v>159</v>
      </c>
      <c r="I54" s="66" t="s">
        <v>1014</v>
      </c>
      <c r="J54" s="74" t="s">
        <v>1013</v>
      </c>
      <c r="K54" s="54" t="s">
        <v>1091</v>
      </c>
      <c r="L54" s="54" t="s">
        <v>978</v>
      </c>
      <c r="M54" s="172"/>
      <c r="N54" s="172"/>
      <c r="O54" s="66" t="s">
        <v>977</v>
      </c>
      <c r="P54" s="172"/>
      <c r="Q54" s="172"/>
      <c r="R54" s="172"/>
      <c r="S54" s="172"/>
      <c r="T54" s="172"/>
      <c r="U54" s="54">
        <v>0.86399999999999999</v>
      </c>
      <c r="V54" s="172"/>
      <c r="W54" s="172"/>
      <c r="X54" s="66">
        <f t="shared" si="0"/>
        <v>0.86399999999999999</v>
      </c>
      <c r="Y54" s="72">
        <v>1563</v>
      </c>
      <c r="Z54" s="192" t="str">
        <f t="shared" si="2"/>
        <v>S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</row>
    <row r="55" spans="1:38" s="45" customFormat="1">
      <c r="A55" s="172"/>
      <c r="B55" s="73" t="s">
        <v>766</v>
      </c>
      <c r="C55" s="54">
        <v>2013</v>
      </c>
      <c r="D55" s="66"/>
      <c r="E55" s="56" t="s">
        <v>172</v>
      </c>
      <c r="F55" s="54">
        <v>2011</v>
      </c>
      <c r="G55" s="54" t="s">
        <v>631</v>
      </c>
      <c r="H55" s="66" t="s">
        <v>159</v>
      </c>
      <c r="I55" s="66" t="s">
        <v>1014</v>
      </c>
      <c r="J55" s="74" t="s">
        <v>1013</v>
      </c>
      <c r="K55" s="54" t="s">
        <v>1091</v>
      </c>
      <c r="L55" s="54" t="s">
        <v>978</v>
      </c>
      <c r="M55" s="172"/>
      <c r="N55" s="172"/>
      <c r="O55" s="66" t="s">
        <v>977</v>
      </c>
      <c r="P55" s="172"/>
      <c r="Q55" s="172"/>
      <c r="R55" s="172"/>
      <c r="S55" s="172"/>
      <c r="T55" s="172"/>
      <c r="U55" s="54">
        <v>0.86499999999999999</v>
      </c>
      <c r="V55" s="172"/>
      <c r="W55" s="172"/>
      <c r="X55" s="66">
        <f t="shared" si="0"/>
        <v>0.86499999999999999</v>
      </c>
      <c r="Y55" s="72">
        <v>1566</v>
      </c>
      <c r="Z55" s="192" t="str">
        <f t="shared" si="2"/>
        <v>S</v>
      </c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</row>
    <row r="56" spans="1:38" s="45" customFormat="1">
      <c r="A56" s="172"/>
      <c r="B56" s="73" t="s">
        <v>766</v>
      </c>
      <c r="C56" s="54">
        <v>2013</v>
      </c>
      <c r="D56" s="66"/>
      <c r="E56" s="56" t="s">
        <v>172</v>
      </c>
      <c r="F56" s="54">
        <v>2011</v>
      </c>
      <c r="G56" s="54" t="s">
        <v>631</v>
      </c>
      <c r="H56" s="66" t="s">
        <v>159</v>
      </c>
      <c r="I56" s="66" t="s">
        <v>1014</v>
      </c>
      <c r="J56" s="74" t="s">
        <v>1013</v>
      </c>
      <c r="K56" s="54" t="s">
        <v>1091</v>
      </c>
      <c r="L56" s="54" t="s">
        <v>975</v>
      </c>
      <c r="M56" s="172"/>
      <c r="N56" s="172"/>
      <c r="O56" s="66" t="s">
        <v>976</v>
      </c>
      <c r="P56" s="172"/>
      <c r="Q56" s="172"/>
      <c r="R56" s="172"/>
      <c r="S56" s="172"/>
      <c r="T56" s="172"/>
      <c r="U56" s="54">
        <v>0.86599999999999999</v>
      </c>
      <c r="V56" s="172"/>
      <c r="W56" s="172"/>
      <c r="X56" s="66">
        <f t="shared" si="0"/>
        <v>0.86599999999999999</v>
      </c>
      <c r="Y56" s="72">
        <v>1567</v>
      </c>
      <c r="Z56" s="192" t="str">
        <f t="shared" si="2"/>
        <v>S</v>
      </c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</row>
    <row r="57" spans="1:38" s="45" customFormat="1">
      <c r="A57" s="172"/>
      <c r="B57" s="73" t="s">
        <v>766</v>
      </c>
      <c r="C57" s="54">
        <v>2013</v>
      </c>
      <c r="D57" s="66"/>
      <c r="E57" s="56" t="s">
        <v>172</v>
      </c>
      <c r="F57" s="54">
        <v>2011</v>
      </c>
      <c r="G57" s="54" t="s">
        <v>631</v>
      </c>
      <c r="H57" s="66" t="s">
        <v>159</v>
      </c>
      <c r="I57" s="66" t="s">
        <v>1014</v>
      </c>
      <c r="J57" s="74" t="s">
        <v>1013</v>
      </c>
      <c r="K57" s="54" t="s">
        <v>1091</v>
      </c>
      <c r="L57" s="54" t="s">
        <v>978</v>
      </c>
      <c r="M57" s="172"/>
      <c r="N57" s="172"/>
      <c r="O57" s="66" t="s">
        <v>977</v>
      </c>
      <c r="P57" s="172"/>
      <c r="Q57" s="172"/>
      <c r="R57" s="172"/>
      <c r="S57" s="172"/>
      <c r="T57" s="172"/>
      <c r="U57" s="54">
        <v>0.86599999999999999</v>
      </c>
      <c r="V57" s="172"/>
      <c r="W57" s="172"/>
      <c r="X57" s="66">
        <f t="shared" si="0"/>
        <v>0.86599999999999999</v>
      </c>
      <c r="Y57" s="72">
        <v>1568</v>
      </c>
      <c r="Z57" s="192" t="str">
        <f t="shared" si="2"/>
        <v>S</v>
      </c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</row>
    <row r="58" spans="1:38" s="45" customFormat="1">
      <c r="A58" s="172"/>
      <c r="B58" s="73" t="s">
        <v>766</v>
      </c>
      <c r="C58" s="54">
        <v>2013</v>
      </c>
      <c r="D58" s="66"/>
      <c r="E58" s="56" t="s">
        <v>172</v>
      </c>
      <c r="F58" s="54">
        <v>2011</v>
      </c>
      <c r="G58" s="54" t="s">
        <v>631</v>
      </c>
      <c r="H58" s="66" t="s">
        <v>159</v>
      </c>
      <c r="I58" s="66" t="s">
        <v>1014</v>
      </c>
      <c r="J58" s="74" t="s">
        <v>1013</v>
      </c>
      <c r="K58" s="54" t="s">
        <v>1091</v>
      </c>
      <c r="L58" s="54" t="s">
        <v>974</v>
      </c>
      <c r="M58" s="172"/>
      <c r="N58" s="172"/>
      <c r="O58" s="66" t="s">
        <v>972</v>
      </c>
      <c r="P58" s="172"/>
      <c r="Q58" s="172"/>
      <c r="R58" s="172"/>
      <c r="S58" s="172"/>
      <c r="T58" s="172"/>
      <c r="U58" s="54">
        <v>0.86899999999999999</v>
      </c>
      <c r="V58" s="172"/>
      <c r="W58" s="172"/>
      <c r="X58" s="66">
        <f t="shared" si="0"/>
        <v>0.86899999999999999</v>
      </c>
      <c r="Y58" s="72">
        <v>1571</v>
      </c>
      <c r="Z58" s="192" t="str">
        <f t="shared" si="2"/>
        <v>S</v>
      </c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</row>
    <row r="59" spans="1:38" s="45" customFormat="1">
      <c r="A59" s="172"/>
      <c r="B59" s="73" t="s">
        <v>766</v>
      </c>
      <c r="C59" s="54">
        <v>2013</v>
      </c>
      <c r="D59" s="66"/>
      <c r="E59" s="56" t="s">
        <v>172</v>
      </c>
      <c r="F59" s="54">
        <v>2011</v>
      </c>
      <c r="G59" s="54" t="s">
        <v>631</v>
      </c>
      <c r="H59" s="66" t="s">
        <v>159</v>
      </c>
      <c r="I59" s="66" t="s">
        <v>1014</v>
      </c>
      <c r="J59" s="74" t="s">
        <v>1013</v>
      </c>
      <c r="K59" s="54" t="s">
        <v>1091</v>
      </c>
      <c r="L59" s="54" t="s">
        <v>978</v>
      </c>
      <c r="M59" s="172"/>
      <c r="N59" s="172"/>
      <c r="O59" s="66" t="s">
        <v>977</v>
      </c>
      <c r="P59" s="172"/>
      <c r="Q59" s="172"/>
      <c r="R59" s="172"/>
      <c r="S59" s="172"/>
      <c r="T59" s="172"/>
      <c r="U59" s="54">
        <v>0.86899999999999999</v>
      </c>
      <c r="V59" s="172"/>
      <c r="W59" s="172"/>
      <c r="X59" s="66">
        <f t="shared" si="0"/>
        <v>0.86899999999999999</v>
      </c>
      <c r="Y59" s="72">
        <v>1572</v>
      </c>
      <c r="Z59" s="192" t="str">
        <f t="shared" si="2"/>
        <v>S</v>
      </c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</row>
    <row r="60" spans="1:38" s="45" customFormat="1">
      <c r="A60" s="172"/>
      <c r="B60" s="73" t="s">
        <v>766</v>
      </c>
      <c r="C60" s="54">
        <v>2013</v>
      </c>
      <c r="D60" s="66"/>
      <c r="E60" s="56" t="s">
        <v>172</v>
      </c>
      <c r="F60" s="54">
        <v>2011</v>
      </c>
      <c r="G60" s="54" t="s">
        <v>631</v>
      </c>
      <c r="H60" s="66" t="s">
        <v>159</v>
      </c>
      <c r="I60" s="66" t="s">
        <v>1014</v>
      </c>
      <c r="J60" s="74" t="s">
        <v>1013</v>
      </c>
      <c r="K60" s="54" t="s">
        <v>1091</v>
      </c>
      <c r="L60" s="54" t="s">
        <v>974</v>
      </c>
      <c r="M60" s="172"/>
      <c r="N60" s="172"/>
      <c r="O60" s="66" t="s">
        <v>972</v>
      </c>
      <c r="P60" s="172"/>
      <c r="Q60" s="172"/>
      <c r="R60" s="172"/>
      <c r="S60" s="172"/>
      <c r="T60" s="172"/>
      <c r="U60" s="54">
        <v>0.871</v>
      </c>
      <c r="V60" s="172"/>
      <c r="W60" s="172"/>
      <c r="X60" s="66">
        <f t="shared" si="0"/>
        <v>0.871</v>
      </c>
      <c r="Y60" s="72">
        <v>1576</v>
      </c>
      <c r="Z60" s="192" t="str">
        <f t="shared" si="2"/>
        <v>S</v>
      </c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</row>
    <row r="61" spans="1:38" s="45" customFormat="1">
      <c r="A61" s="172"/>
      <c r="B61" s="73" t="s">
        <v>766</v>
      </c>
      <c r="C61" s="54">
        <v>2013</v>
      </c>
      <c r="D61" s="66"/>
      <c r="E61" s="56" t="s">
        <v>172</v>
      </c>
      <c r="F61" s="54">
        <v>2011</v>
      </c>
      <c r="G61" s="54" t="s">
        <v>631</v>
      </c>
      <c r="H61" s="66" t="s">
        <v>159</v>
      </c>
      <c r="I61" s="66" t="s">
        <v>1014</v>
      </c>
      <c r="J61" s="74" t="s">
        <v>1013</v>
      </c>
      <c r="K61" s="54" t="s">
        <v>1091</v>
      </c>
      <c r="L61" s="54" t="s">
        <v>978</v>
      </c>
      <c r="M61" s="172"/>
      <c r="N61" s="172"/>
      <c r="O61" s="66" t="s">
        <v>977</v>
      </c>
      <c r="P61" s="172"/>
      <c r="Q61" s="172"/>
      <c r="R61" s="172"/>
      <c r="S61" s="172"/>
      <c r="T61" s="172"/>
      <c r="U61" s="54">
        <v>0.871</v>
      </c>
      <c r="V61" s="172"/>
      <c r="W61" s="172"/>
      <c r="X61" s="66">
        <f t="shared" si="0"/>
        <v>0.871</v>
      </c>
      <c r="Y61" s="72">
        <v>1578</v>
      </c>
      <c r="Z61" s="192" t="str">
        <f t="shared" si="2"/>
        <v>S</v>
      </c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</row>
    <row r="62" spans="1:38" s="45" customFormat="1">
      <c r="A62" s="172"/>
      <c r="B62" s="73" t="s">
        <v>766</v>
      </c>
      <c r="C62" s="54">
        <v>2013</v>
      </c>
      <c r="D62" s="66"/>
      <c r="E62" s="56" t="s">
        <v>172</v>
      </c>
      <c r="F62" s="54">
        <v>2011</v>
      </c>
      <c r="G62" s="54" t="s">
        <v>631</v>
      </c>
      <c r="H62" s="66" t="s">
        <v>159</v>
      </c>
      <c r="I62" s="66" t="s">
        <v>1014</v>
      </c>
      <c r="J62" s="74" t="s">
        <v>1013</v>
      </c>
      <c r="K62" s="54" t="s">
        <v>1091</v>
      </c>
      <c r="L62" s="54" t="s">
        <v>978</v>
      </c>
      <c r="M62" s="172"/>
      <c r="N62" s="172"/>
      <c r="O62" s="66" t="s">
        <v>977</v>
      </c>
      <c r="P62" s="172"/>
      <c r="Q62" s="172"/>
      <c r="R62" s="172"/>
      <c r="S62" s="172"/>
      <c r="T62" s="172"/>
      <c r="U62" s="54">
        <v>0.873</v>
      </c>
      <c r="V62" s="172"/>
      <c r="W62" s="172"/>
      <c r="X62" s="66">
        <f t="shared" si="0"/>
        <v>0.873</v>
      </c>
      <c r="Y62" s="72">
        <v>1582</v>
      </c>
      <c r="Z62" s="192" t="str">
        <f t="shared" si="2"/>
        <v>S</v>
      </c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</row>
    <row r="63" spans="1:38" s="45" customFormat="1">
      <c r="A63" s="172"/>
      <c r="B63" s="73" t="s">
        <v>766</v>
      </c>
      <c r="C63" s="54">
        <v>2013</v>
      </c>
      <c r="D63" s="66"/>
      <c r="E63" s="56" t="s">
        <v>172</v>
      </c>
      <c r="F63" s="54">
        <v>2011</v>
      </c>
      <c r="G63" s="54" t="s">
        <v>631</v>
      </c>
      <c r="H63" s="66" t="s">
        <v>159</v>
      </c>
      <c r="I63" s="66" t="s">
        <v>1014</v>
      </c>
      <c r="J63" s="74" t="s">
        <v>1013</v>
      </c>
      <c r="K63" s="54" t="s">
        <v>1091</v>
      </c>
      <c r="L63" s="54" t="s">
        <v>974</v>
      </c>
      <c r="M63" s="172"/>
      <c r="N63" s="172"/>
      <c r="O63" s="66" t="s">
        <v>972</v>
      </c>
      <c r="P63" s="172"/>
      <c r="Q63" s="172"/>
      <c r="R63" s="172"/>
      <c r="S63" s="172"/>
      <c r="T63" s="172"/>
      <c r="U63" s="54">
        <v>0.875</v>
      </c>
      <c r="V63" s="172"/>
      <c r="W63" s="172"/>
      <c r="X63" s="66">
        <f t="shared" si="0"/>
        <v>0.875</v>
      </c>
      <c r="Y63" s="72">
        <v>1581</v>
      </c>
      <c r="Z63" s="192" t="str">
        <f t="shared" si="2"/>
        <v>S</v>
      </c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</row>
    <row r="64" spans="1:38" s="45" customFormat="1">
      <c r="A64" s="172"/>
      <c r="B64" s="73" t="s">
        <v>766</v>
      </c>
      <c r="C64" s="54">
        <v>2013</v>
      </c>
      <c r="D64" s="66"/>
      <c r="E64" s="56" t="s">
        <v>172</v>
      </c>
      <c r="F64" s="54">
        <v>2011</v>
      </c>
      <c r="G64" s="54" t="s">
        <v>631</v>
      </c>
      <c r="H64" s="66" t="s">
        <v>159</v>
      </c>
      <c r="I64" s="66" t="s">
        <v>1014</v>
      </c>
      <c r="J64" s="74" t="s">
        <v>1013</v>
      </c>
      <c r="K64" s="54" t="s">
        <v>1091</v>
      </c>
      <c r="L64" s="54" t="s">
        <v>978</v>
      </c>
      <c r="M64" s="172"/>
      <c r="N64" s="172"/>
      <c r="O64" s="66" t="s">
        <v>977</v>
      </c>
      <c r="P64" s="172"/>
      <c r="Q64" s="172"/>
      <c r="R64" s="172"/>
      <c r="S64" s="172"/>
      <c r="T64" s="172"/>
      <c r="U64" s="54">
        <v>0.875</v>
      </c>
      <c r="V64" s="172"/>
      <c r="W64" s="172"/>
      <c r="X64" s="66">
        <f t="shared" si="0"/>
        <v>0.875</v>
      </c>
      <c r="Y64" s="72">
        <v>1585</v>
      </c>
      <c r="Z64" s="192" t="str">
        <f t="shared" si="2"/>
        <v>S</v>
      </c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</row>
    <row r="65" spans="1:38" s="45" customFormat="1">
      <c r="A65" s="172"/>
      <c r="B65" s="73" t="s">
        <v>766</v>
      </c>
      <c r="C65" s="54">
        <v>2013</v>
      </c>
      <c r="D65" s="66"/>
      <c r="E65" s="56" t="s">
        <v>172</v>
      </c>
      <c r="F65" s="54">
        <v>2011</v>
      </c>
      <c r="G65" s="54" t="s">
        <v>631</v>
      </c>
      <c r="H65" s="66" t="s">
        <v>159</v>
      </c>
      <c r="I65" s="66" t="s">
        <v>1014</v>
      </c>
      <c r="J65" s="74" t="s">
        <v>1013</v>
      </c>
      <c r="K65" s="54" t="s">
        <v>1091</v>
      </c>
      <c r="L65" s="54" t="s">
        <v>974</v>
      </c>
      <c r="M65" s="172"/>
      <c r="N65" s="172"/>
      <c r="O65" s="66" t="s">
        <v>972</v>
      </c>
      <c r="P65" s="172"/>
      <c r="Q65" s="172"/>
      <c r="R65" s="172"/>
      <c r="S65" s="172"/>
      <c r="T65" s="172"/>
      <c r="U65" s="54">
        <v>0.875</v>
      </c>
      <c r="V65" s="172"/>
      <c r="W65" s="172"/>
      <c r="X65" s="66">
        <f t="shared" si="0"/>
        <v>0.875</v>
      </c>
      <c r="Y65" s="72">
        <v>1586</v>
      </c>
      <c r="Z65" s="192" t="str">
        <f t="shared" si="2"/>
        <v>S</v>
      </c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</row>
    <row r="66" spans="1:38" s="45" customFormat="1">
      <c r="A66" s="172"/>
      <c r="B66" s="73" t="s">
        <v>766</v>
      </c>
      <c r="C66" s="54">
        <v>2013</v>
      </c>
      <c r="D66" s="66"/>
      <c r="E66" s="56" t="s">
        <v>172</v>
      </c>
      <c r="F66" s="54">
        <v>2011</v>
      </c>
      <c r="G66" s="54" t="s">
        <v>631</v>
      </c>
      <c r="H66" s="66" t="s">
        <v>159</v>
      </c>
      <c r="I66" s="66" t="s">
        <v>1014</v>
      </c>
      <c r="J66" s="74" t="s">
        <v>1013</v>
      </c>
      <c r="K66" s="54" t="s">
        <v>1091</v>
      </c>
      <c r="L66" s="54" t="s">
        <v>978</v>
      </c>
      <c r="M66" s="172"/>
      <c r="N66" s="172"/>
      <c r="O66" s="66" t="s">
        <v>977</v>
      </c>
      <c r="P66" s="172"/>
      <c r="Q66" s="172"/>
      <c r="R66" s="172"/>
      <c r="S66" s="172"/>
      <c r="T66" s="172"/>
      <c r="U66" s="54">
        <v>0.876</v>
      </c>
      <c r="V66" s="172"/>
      <c r="W66" s="172"/>
      <c r="X66" s="66">
        <f t="shared" ref="X66:X129" si="3">IF(R66&lt;&gt;0,IF(R66&gt;1,R66/100,R66),IF(U66&lt;&gt;0,IF(U66&gt;1,U66/100,U66),""))</f>
        <v>0.876</v>
      </c>
      <c r="Y66" s="72">
        <v>1582</v>
      </c>
      <c r="Z66" s="192" t="str">
        <f t="shared" ref="Z66:Z97" si="4">IF(X66&lt;&gt;"",IF(X66&lt;0.9,"S","F"),"")</f>
        <v>S</v>
      </c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</row>
    <row r="67" spans="1:38" s="45" customFormat="1">
      <c r="A67" s="172"/>
      <c r="B67" s="73" t="s">
        <v>766</v>
      </c>
      <c r="C67" s="54">
        <v>2013</v>
      </c>
      <c r="D67" s="66"/>
      <c r="E67" s="56" t="s">
        <v>172</v>
      </c>
      <c r="F67" s="54">
        <v>2011</v>
      </c>
      <c r="G67" s="54" t="s">
        <v>631</v>
      </c>
      <c r="H67" s="66" t="s">
        <v>159</v>
      </c>
      <c r="I67" s="66" t="s">
        <v>1014</v>
      </c>
      <c r="J67" s="74" t="s">
        <v>1013</v>
      </c>
      <c r="K67" s="54" t="s">
        <v>1091</v>
      </c>
      <c r="L67" s="54" t="s">
        <v>978</v>
      </c>
      <c r="M67" s="172"/>
      <c r="N67" s="172"/>
      <c r="O67" s="66" t="s">
        <v>977</v>
      </c>
      <c r="P67" s="172"/>
      <c r="Q67" s="172"/>
      <c r="R67" s="172"/>
      <c r="S67" s="172"/>
      <c r="T67" s="172"/>
      <c r="U67" s="54">
        <v>0.876</v>
      </c>
      <c r="V67" s="172"/>
      <c r="W67" s="172"/>
      <c r="X67" s="66">
        <f t="shared" si="3"/>
        <v>0.876</v>
      </c>
      <c r="Y67" s="72">
        <v>1587</v>
      </c>
      <c r="Z67" s="192" t="str">
        <f t="shared" si="4"/>
        <v>S</v>
      </c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</row>
    <row r="68" spans="1:38" s="45" customFormat="1">
      <c r="A68" s="172"/>
      <c r="B68" s="73" t="s">
        <v>766</v>
      </c>
      <c r="C68" s="54">
        <v>2013</v>
      </c>
      <c r="D68" s="66"/>
      <c r="E68" s="56" t="s">
        <v>172</v>
      </c>
      <c r="F68" s="54">
        <v>2011</v>
      </c>
      <c r="G68" s="54" t="s">
        <v>631</v>
      </c>
      <c r="H68" s="66" t="s">
        <v>159</v>
      </c>
      <c r="I68" s="66" t="s">
        <v>1014</v>
      </c>
      <c r="J68" s="74" t="s">
        <v>1013</v>
      </c>
      <c r="K68" s="54" t="s">
        <v>1091</v>
      </c>
      <c r="L68" s="54" t="s">
        <v>974</v>
      </c>
      <c r="M68" s="172"/>
      <c r="N68" s="172"/>
      <c r="O68" s="66" t="s">
        <v>972</v>
      </c>
      <c r="P68" s="172"/>
      <c r="Q68" s="172"/>
      <c r="R68" s="172"/>
      <c r="S68" s="172"/>
      <c r="T68" s="172"/>
      <c r="U68" s="54">
        <v>0.876</v>
      </c>
      <c r="V68" s="172"/>
      <c r="W68" s="172"/>
      <c r="X68" s="66">
        <f t="shared" si="3"/>
        <v>0.876</v>
      </c>
      <c r="Y68" s="72">
        <v>1588</v>
      </c>
      <c r="Z68" s="192" t="str">
        <f t="shared" si="4"/>
        <v>S</v>
      </c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</row>
    <row r="69" spans="1:38" s="45" customFormat="1">
      <c r="A69" s="172"/>
      <c r="B69" s="73" t="s">
        <v>766</v>
      </c>
      <c r="C69" s="54">
        <v>2013</v>
      </c>
      <c r="D69" s="66"/>
      <c r="E69" s="56" t="s">
        <v>172</v>
      </c>
      <c r="F69" s="54">
        <v>2011</v>
      </c>
      <c r="G69" s="54" t="s">
        <v>631</v>
      </c>
      <c r="H69" s="66" t="s">
        <v>159</v>
      </c>
      <c r="I69" s="66" t="s">
        <v>1014</v>
      </c>
      <c r="J69" s="74" t="s">
        <v>1013</v>
      </c>
      <c r="K69" s="54" t="s">
        <v>1091</v>
      </c>
      <c r="L69" s="54" t="s">
        <v>978</v>
      </c>
      <c r="M69" s="172"/>
      <c r="N69" s="172"/>
      <c r="O69" s="66" t="s">
        <v>977</v>
      </c>
      <c r="P69" s="172"/>
      <c r="Q69" s="172"/>
      <c r="R69" s="172"/>
      <c r="S69" s="172"/>
      <c r="T69" s="172"/>
      <c r="U69" s="54">
        <v>0.876</v>
      </c>
      <c r="V69" s="172"/>
      <c r="W69" s="172"/>
      <c r="X69" s="66">
        <f t="shared" si="3"/>
        <v>0.876</v>
      </c>
      <c r="Y69" s="72">
        <v>1588</v>
      </c>
      <c r="Z69" s="192" t="str">
        <f t="shared" si="4"/>
        <v>S</v>
      </c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</row>
    <row r="70" spans="1:38" s="45" customFormat="1">
      <c r="A70" s="172"/>
      <c r="B70" s="73" t="s">
        <v>766</v>
      </c>
      <c r="C70" s="54">
        <v>2013</v>
      </c>
      <c r="D70" s="66"/>
      <c r="E70" s="56" t="s">
        <v>172</v>
      </c>
      <c r="F70" s="54">
        <v>2011</v>
      </c>
      <c r="G70" s="54" t="s">
        <v>631</v>
      </c>
      <c r="H70" s="66" t="s">
        <v>159</v>
      </c>
      <c r="I70" s="66" t="s">
        <v>1014</v>
      </c>
      <c r="J70" s="74" t="s">
        <v>1013</v>
      </c>
      <c r="K70" s="54" t="s">
        <v>1091</v>
      </c>
      <c r="L70" s="54" t="s">
        <v>978</v>
      </c>
      <c r="M70" s="172"/>
      <c r="N70" s="172"/>
      <c r="O70" s="66" t="s">
        <v>977</v>
      </c>
      <c r="P70" s="172"/>
      <c r="Q70" s="172"/>
      <c r="R70" s="172"/>
      <c r="S70" s="172"/>
      <c r="T70" s="172"/>
      <c r="U70" s="54">
        <v>0.876</v>
      </c>
      <c r="V70" s="172"/>
      <c r="W70" s="172"/>
      <c r="X70" s="66">
        <f t="shared" si="3"/>
        <v>0.876</v>
      </c>
      <c r="Y70" s="72">
        <v>1590</v>
      </c>
      <c r="Z70" s="192" t="str">
        <f t="shared" si="4"/>
        <v>S</v>
      </c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</row>
    <row r="71" spans="1:38" s="45" customFormat="1">
      <c r="A71" s="172"/>
      <c r="B71" s="73" t="s">
        <v>766</v>
      </c>
      <c r="C71" s="54">
        <v>2013</v>
      </c>
      <c r="D71" s="66"/>
      <c r="E71" s="56" t="s">
        <v>172</v>
      </c>
      <c r="F71" s="54">
        <v>2011</v>
      </c>
      <c r="G71" s="54" t="s">
        <v>631</v>
      </c>
      <c r="H71" s="66" t="s">
        <v>159</v>
      </c>
      <c r="I71" s="66" t="s">
        <v>1014</v>
      </c>
      <c r="J71" s="74" t="s">
        <v>1013</v>
      </c>
      <c r="K71" s="54" t="s">
        <v>1091</v>
      </c>
      <c r="L71" s="54" t="s">
        <v>978</v>
      </c>
      <c r="M71" s="172"/>
      <c r="N71" s="172"/>
      <c r="O71" s="66" t="s">
        <v>977</v>
      </c>
      <c r="P71" s="172"/>
      <c r="Q71" s="172"/>
      <c r="R71" s="172"/>
      <c r="S71" s="172"/>
      <c r="T71" s="172"/>
      <c r="U71" s="54">
        <v>0.878</v>
      </c>
      <c r="V71" s="172"/>
      <c r="W71" s="172"/>
      <c r="X71" s="66">
        <f t="shared" si="3"/>
        <v>0.878</v>
      </c>
      <c r="Y71" s="72">
        <v>1592</v>
      </c>
      <c r="Z71" s="192" t="str">
        <f t="shared" si="4"/>
        <v>S</v>
      </c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</row>
    <row r="72" spans="1:38" s="45" customFormat="1">
      <c r="A72" s="172"/>
      <c r="B72" s="73" t="s">
        <v>766</v>
      </c>
      <c r="C72" s="54">
        <v>2013</v>
      </c>
      <c r="D72" s="66"/>
      <c r="E72" s="56" t="s">
        <v>172</v>
      </c>
      <c r="F72" s="54">
        <v>2011</v>
      </c>
      <c r="G72" s="54" t="s">
        <v>631</v>
      </c>
      <c r="H72" s="66" t="s">
        <v>159</v>
      </c>
      <c r="I72" s="66" t="s">
        <v>1014</v>
      </c>
      <c r="J72" s="74" t="s">
        <v>1013</v>
      </c>
      <c r="K72" s="54" t="s">
        <v>1091</v>
      </c>
      <c r="L72" s="54" t="s">
        <v>978</v>
      </c>
      <c r="M72" s="172"/>
      <c r="N72" s="172"/>
      <c r="O72" s="66" t="s">
        <v>977</v>
      </c>
      <c r="P72" s="172"/>
      <c r="Q72" s="172"/>
      <c r="R72" s="172"/>
      <c r="S72" s="172"/>
      <c r="T72" s="172"/>
      <c r="U72" s="54">
        <v>0.879</v>
      </c>
      <c r="V72" s="172"/>
      <c r="W72" s="172"/>
      <c r="X72" s="66">
        <f t="shared" si="3"/>
        <v>0.879</v>
      </c>
      <c r="Y72" s="72">
        <v>1596</v>
      </c>
      <c r="Z72" s="192" t="str">
        <f t="shared" si="4"/>
        <v>S</v>
      </c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</row>
    <row r="73" spans="1:38" s="45" customFormat="1">
      <c r="A73" s="172"/>
      <c r="B73" s="73" t="s">
        <v>766</v>
      </c>
      <c r="C73" s="54">
        <v>2013</v>
      </c>
      <c r="D73" s="66"/>
      <c r="E73" s="56" t="s">
        <v>172</v>
      </c>
      <c r="F73" s="54">
        <v>2011</v>
      </c>
      <c r="G73" s="54" t="s">
        <v>631</v>
      </c>
      <c r="H73" s="66" t="s">
        <v>159</v>
      </c>
      <c r="I73" s="66" t="s">
        <v>1014</v>
      </c>
      <c r="J73" s="74" t="s">
        <v>1013</v>
      </c>
      <c r="K73" s="54" t="s">
        <v>1091</v>
      </c>
      <c r="L73" s="54" t="s">
        <v>974</v>
      </c>
      <c r="M73" s="172"/>
      <c r="N73" s="172"/>
      <c r="O73" s="66" t="s">
        <v>972</v>
      </c>
      <c r="P73" s="172"/>
      <c r="Q73" s="172"/>
      <c r="R73" s="172"/>
      <c r="S73" s="172"/>
      <c r="T73" s="172"/>
      <c r="U73" s="54">
        <v>0.88400000000000001</v>
      </c>
      <c r="V73" s="172"/>
      <c r="W73" s="172"/>
      <c r="X73" s="66">
        <f t="shared" si="3"/>
        <v>0.88400000000000001</v>
      </c>
      <c r="Y73" s="72">
        <v>1601</v>
      </c>
      <c r="Z73" s="192" t="str">
        <f t="shared" si="4"/>
        <v>S</v>
      </c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</row>
    <row r="74" spans="1:38" s="45" customFormat="1">
      <c r="A74" s="172"/>
      <c r="B74" s="73" t="s">
        <v>766</v>
      </c>
      <c r="C74" s="54">
        <v>2013</v>
      </c>
      <c r="D74" s="66"/>
      <c r="E74" s="56" t="s">
        <v>172</v>
      </c>
      <c r="F74" s="54">
        <v>2011</v>
      </c>
      <c r="G74" s="54" t="s">
        <v>631</v>
      </c>
      <c r="H74" s="66" t="s">
        <v>159</v>
      </c>
      <c r="I74" s="66" t="s">
        <v>1014</v>
      </c>
      <c r="J74" s="74" t="s">
        <v>1013</v>
      </c>
      <c r="K74" s="54" t="s">
        <v>1091</v>
      </c>
      <c r="L74" s="54" t="s">
        <v>974</v>
      </c>
      <c r="M74" s="172"/>
      <c r="N74" s="172"/>
      <c r="O74" s="66" t="s">
        <v>972</v>
      </c>
      <c r="P74" s="172"/>
      <c r="Q74" s="172"/>
      <c r="R74" s="172"/>
      <c r="S74" s="172"/>
      <c r="T74" s="172"/>
      <c r="U74" s="54">
        <v>0.88400000000000001</v>
      </c>
      <c r="V74" s="172"/>
      <c r="W74" s="172"/>
      <c r="X74" s="66">
        <f t="shared" si="3"/>
        <v>0.88400000000000001</v>
      </c>
      <c r="Y74" s="72">
        <v>1605</v>
      </c>
      <c r="Z74" s="192" t="str">
        <f t="shared" si="4"/>
        <v>S</v>
      </c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</row>
    <row r="75" spans="1:38" s="45" customFormat="1">
      <c r="A75" s="172"/>
      <c r="B75" s="73" t="s">
        <v>766</v>
      </c>
      <c r="C75" s="54">
        <v>2013</v>
      </c>
      <c r="D75" s="66"/>
      <c r="E75" s="56" t="s">
        <v>172</v>
      </c>
      <c r="F75" s="54">
        <v>2011</v>
      </c>
      <c r="G75" s="54" t="s">
        <v>631</v>
      </c>
      <c r="H75" s="66" t="s">
        <v>159</v>
      </c>
      <c r="I75" s="66" t="s">
        <v>1014</v>
      </c>
      <c r="J75" s="74" t="s">
        <v>1013</v>
      </c>
      <c r="K75" s="54" t="s">
        <v>1091</v>
      </c>
      <c r="L75" s="54" t="s">
        <v>978</v>
      </c>
      <c r="M75" s="172"/>
      <c r="N75" s="172"/>
      <c r="O75" s="66" t="s">
        <v>977</v>
      </c>
      <c r="P75" s="172"/>
      <c r="Q75" s="172"/>
      <c r="R75" s="172"/>
      <c r="S75" s="172"/>
      <c r="T75" s="172"/>
      <c r="U75" s="54">
        <v>0.88500000000000001</v>
      </c>
      <c r="V75" s="172"/>
      <c r="W75" s="172"/>
      <c r="X75" s="66">
        <f t="shared" si="3"/>
        <v>0.88500000000000001</v>
      </c>
      <c r="Y75" s="72">
        <v>1603</v>
      </c>
      <c r="Z75" s="192" t="str">
        <f t="shared" si="4"/>
        <v>S</v>
      </c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</row>
    <row r="76" spans="1:38" s="45" customFormat="1">
      <c r="A76" s="172"/>
      <c r="B76" s="73" t="s">
        <v>766</v>
      </c>
      <c r="C76" s="54">
        <v>2013</v>
      </c>
      <c r="D76" s="66"/>
      <c r="E76" s="56" t="s">
        <v>172</v>
      </c>
      <c r="F76" s="54">
        <v>2011</v>
      </c>
      <c r="G76" s="54" t="s">
        <v>631</v>
      </c>
      <c r="H76" s="66" t="s">
        <v>159</v>
      </c>
      <c r="I76" s="66" t="s">
        <v>1014</v>
      </c>
      <c r="J76" s="74" t="s">
        <v>1013</v>
      </c>
      <c r="K76" s="54" t="s">
        <v>1091</v>
      </c>
      <c r="L76" s="54" t="s">
        <v>974</v>
      </c>
      <c r="M76" s="172"/>
      <c r="N76" s="172"/>
      <c r="O76" s="66" t="s">
        <v>972</v>
      </c>
      <c r="P76" s="172"/>
      <c r="Q76" s="172"/>
      <c r="R76" s="172"/>
      <c r="S76" s="172"/>
      <c r="T76" s="172"/>
      <c r="U76" s="54">
        <v>0.88500000000000001</v>
      </c>
      <c r="V76" s="172"/>
      <c r="W76" s="172"/>
      <c r="X76" s="66">
        <f t="shared" si="3"/>
        <v>0.88500000000000001</v>
      </c>
      <c r="Y76" s="72">
        <v>1605</v>
      </c>
      <c r="Z76" s="192" t="str">
        <f t="shared" si="4"/>
        <v>S</v>
      </c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</row>
    <row r="77" spans="1:38" s="45" customFormat="1">
      <c r="A77" s="172"/>
      <c r="B77" s="73" t="s">
        <v>766</v>
      </c>
      <c r="C77" s="54">
        <v>2013</v>
      </c>
      <c r="D77" s="66"/>
      <c r="E77" s="56" t="s">
        <v>172</v>
      </c>
      <c r="F77" s="54">
        <v>2011</v>
      </c>
      <c r="G77" s="54" t="s">
        <v>631</v>
      </c>
      <c r="H77" s="66" t="s">
        <v>159</v>
      </c>
      <c r="I77" s="66" t="s">
        <v>1014</v>
      </c>
      <c r="J77" s="74" t="s">
        <v>1013</v>
      </c>
      <c r="K77" s="54" t="s">
        <v>1091</v>
      </c>
      <c r="L77" s="54" t="s">
        <v>978</v>
      </c>
      <c r="M77" s="172"/>
      <c r="N77" s="172"/>
      <c r="O77" s="66" t="s">
        <v>977</v>
      </c>
      <c r="P77" s="172"/>
      <c r="Q77" s="172"/>
      <c r="R77" s="172"/>
      <c r="S77" s="172"/>
      <c r="T77" s="172"/>
      <c r="U77" s="54">
        <v>0.88600000000000001</v>
      </c>
      <c r="V77" s="172"/>
      <c r="W77" s="172"/>
      <c r="X77" s="66">
        <f t="shared" si="3"/>
        <v>0.88600000000000001</v>
      </c>
      <c r="Y77" s="72">
        <v>1607</v>
      </c>
      <c r="Z77" s="192" t="str">
        <f t="shared" si="4"/>
        <v>S</v>
      </c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</row>
    <row r="78" spans="1:38" s="45" customFormat="1">
      <c r="A78" s="172"/>
      <c r="B78" s="73" t="s">
        <v>766</v>
      </c>
      <c r="C78" s="54">
        <v>2013</v>
      </c>
      <c r="D78" s="66"/>
      <c r="E78" s="56" t="s">
        <v>172</v>
      </c>
      <c r="F78" s="54">
        <v>2011</v>
      </c>
      <c r="G78" s="54" t="s">
        <v>631</v>
      </c>
      <c r="H78" s="66" t="s">
        <v>159</v>
      </c>
      <c r="I78" s="66" t="s">
        <v>1014</v>
      </c>
      <c r="J78" s="74" t="s">
        <v>1013</v>
      </c>
      <c r="K78" s="54" t="s">
        <v>1091</v>
      </c>
      <c r="L78" s="54" t="s">
        <v>974</v>
      </c>
      <c r="M78" s="172"/>
      <c r="N78" s="172"/>
      <c r="O78" s="66" t="s">
        <v>972</v>
      </c>
      <c r="P78" s="172"/>
      <c r="Q78" s="172"/>
      <c r="R78" s="172"/>
      <c r="S78" s="172"/>
      <c r="T78" s="172"/>
      <c r="U78" s="54">
        <v>0.88600000000000001</v>
      </c>
      <c r="V78" s="172"/>
      <c r="W78" s="172"/>
      <c r="X78" s="66">
        <f t="shared" si="3"/>
        <v>0.88600000000000001</v>
      </c>
      <c r="Y78" s="72">
        <v>1608</v>
      </c>
      <c r="Z78" s="192" t="str">
        <f t="shared" si="4"/>
        <v>S</v>
      </c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</row>
    <row r="79" spans="1:38" s="45" customFormat="1">
      <c r="A79" s="172"/>
      <c r="B79" s="73" t="s">
        <v>766</v>
      </c>
      <c r="C79" s="54">
        <v>2013</v>
      </c>
      <c r="D79" s="66"/>
      <c r="E79" s="56" t="s">
        <v>172</v>
      </c>
      <c r="F79" s="54">
        <v>2011</v>
      </c>
      <c r="G79" s="54" t="s">
        <v>631</v>
      </c>
      <c r="H79" s="66" t="s">
        <v>159</v>
      </c>
      <c r="I79" s="66" t="s">
        <v>1014</v>
      </c>
      <c r="J79" s="74" t="s">
        <v>1013</v>
      </c>
      <c r="K79" s="54" t="s">
        <v>1091</v>
      </c>
      <c r="L79" s="54" t="s">
        <v>978</v>
      </c>
      <c r="M79" s="172"/>
      <c r="N79" s="172"/>
      <c r="O79" s="66" t="s">
        <v>977</v>
      </c>
      <c r="P79" s="172"/>
      <c r="Q79" s="172"/>
      <c r="R79" s="172"/>
      <c r="S79" s="172"/>
      <c r="T79" s="172"/>
      <c r="U79" s="54">
        <v>0.88900000000000001</v>
      </c>
      <c r="V79" s="172"/>
      <c r="W79" s="172"/>
      <c r="X79" s="66">
        <f t="shared" si="3"/>
        <v>0.88900000000000001</v>
      </c>
      <c r="Y79" s="72">
        <v>1612</v>
      </c>
      <c r="Z79" s="192" t="str">
        <f t="shared" si="4"/>
        <v>S</v>
      </c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</row>
    <row r="80" spans="1:38" s="45" customFormat="1">
      <c r="A80" s="172"/>
      <c r="B80" s="73" t="s">
        <v>766</v>
      </c>
      <c r="C80" s="54">
        <v>2013</v>
      </c>
      <c r="D80" s="66"/>
      <c r="E80" s="56" t="s">
        <v>172</v>
      </c>
      <c r="F80" s="54">
        <v>2011</v>
      </c>
      <c r="G80" s="54" t="s">
        <v>631</v>
      </c>
      <c r="H80" s="66" t="s">
        <v>159</v>
      </c>
      <c r="I80" s="66" t="s">
        <v>1014</v>
      </c>
      <c r="J80" s="74" t="s">
        <v>1013</v>
      </c>
      <c r="K80" s="54" t="s">
        <v>1091</v>
      </c>
      <c r="L80" s="54" t="s">
        <v>974</v>
      </c>
      <c r="M80" s="172"/>
      <c r="N80" s="172"/>
      <c r="O80" s="66" t="s">
        <v>972</v>
      </c>
      <c r="P80" s="172"/>
      <c r="Q80" s="172"/>
      <c r="R80" s="172"/>
      <c r="S80" s="172"/>
      <c r="T80" s="172"/>
      <c r="U80" s="54">
        <v>0.88900000000000001</v>
      </c>
      <c r="V80" s="172"/>
      <c r="W80" s="172"/>
      <c r="X80" s="66">
        <f t="shared" si="3"/>
        <v>0.88900000000000001</v>
      </c>
      <c r="Y80" s="72">
        <v>1613</v>
      </c>
      <c r="Z80" s="192" t="str">
        <f t="shared" si="4"/>
        <v>S</v>
      </c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</row>
    <row r="81" spans="1:38" s="45" customFormat="1">
      <c r="A81" s="53">
        <v>203</v>
      </c>
      <c r="B81" s="73" t="s">
        <v>940</v>
      </c>
      <c r="C81" s="54">
        <v>2011</v>
      </c>
      <c r="D81" s="73" t="s">
        <v>941</v>
      </c>
      <c r="E81" s="56" t="s">
        <v>20</v>
      </c>
      <c r="F81" s="54">
        <v>2009</v>
      </c>
      <c r="G81" s="54" t="s">
        <v>326</v>
      </c>
      <c r="H81" s="54"/>
      <c r="I81" s="54"/>
      <c r="J81" s="172" t="s">
        <v>1013</v>
      </c>
      <c r="K81" s="54" t="s">
        <v>1091</v>
      </c>
      <c r="L81" s="54" t="s">
        <v>725</v>
      </c>
      <c r="M81" s="54"/>
      <c r="N81" s="54"/>
      <c r="O81" s="54">
        <v>61</v>
      </c>
      <c r="P81" s="54"/>
      <c r="Q81" s="54"/>
      <c r="R81" s="54"/>
      <c r="S81" s="54"/>
      <c r="T81" s="54"/>
      <c r="U81" s="54">
        <v>0.89</v>
      </c>
      <c r="V81" s="54"/>
      <c r="W81" s="54"/>
      <c r="X81" s="66">
        <f t="shared" si="3"/>
        <v>0.89</v>
      </c>
      <c r="Y81" s="72">
        <v>1656</v>
      </c>
      <c r="Z81" s="192" t="str">
        <f t="shared" si="4"/>
        <v>S</v>
      </c>
      <c r="AJ81" s="172"/>
      <c r="AK81" s="172"/>
      <c r="AL81" s="172"/>
    </row>
    <row r="82" spans="1:38" s="45" customFormat="1">
      <c r="A82" s="172"/>
      <c r="B82" s="73" t="s">
        <v>766</v>
      </c>
      <c r="C82" s="54">
        <v>2013</v>
      </c>
      <c r="D82" s="66"/>
      <c r="E82" s="56" t="s">
        <v>172</v>
      </c>
      <c r="F82" s="54">
        <v>2011</v>
      </c>
      <c r="G82" s="54" t="s">
        <v>631</v>
      </c>
      <c r="H82" s="66" t="s">
        <v>159</v>
      </c>
      <c r="I82" s="66" t="s">
        <v>1014</v>
      </c>
      <c r="J82" s="74" t="s">
        <v>1013</v>
      </c>
      <c r="K82" s="54" t="s">
        <v>1091</v>
      </c>
      <c r="L82" s="54" t="s">
        <v>975</v>
      </c>
      <c r="M82" s="172"/>
      <c r="N82" s="172"/>
      <c r="O82" s="66" t="s">
        <v>976</v>
      </c>
      <c r="P82" s="172"/>
      <c r="Q82" s="172"/>
      <c r="R82" s="172"/>
      <c r="S82" s="172"/>
      <c r="T82" s="172"/>
      <c r="U82" s="54">
        <v>0.89</v>
      </c>
      <c r="V82" s="172"/>
      <c r="W82" s="172"/>
      <c r="X82" s="66">
        <f t="shared" si="3"/>
        <v>0.89</v>
      </c>
      <c r="Y82" s="72">
        <v>1612</v>
      </c>
      <c r="Z82" s="192" t="str">
        <f t="shared" si="4"/>
        <v>S</v>
      </c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</row>
    <row r="83" spans="1:38" s="45" customFormat="1">
      <c r="A83" s="172"/>
      <c r="B83" s="73" t="s">
        <v>766</v>
      </c>
      <c r="C83" s="54">
        <v>2013</v>
      </c>
      <c r="D83" s="66"/>
      <c r="E83" s="56" t="s">
        <v>172</v>
      </c>
      <c r="F83" s="54">
        <v>2011</v>
      </c>
      <c r="G83" s="54" t="s">
        <v>631</v>
      </c>
      <c r="H83" s="66" t="s">
        <v>159</v>
      </c>
      <c r="I83" s="66" t="s">
        <v>1014</v>
      </c>
      <c r="J83" s="74" t="s">
        <v>1013</v>
      </c>
      <c r="K83" s="54" t="s">
        <v>1091</v>
      </c>
      <c r="L83" s="54" t="s">
        <v>974</v>
      </c>
      <c r="M83" s="172"/>
      <c r="N83" s="172"/>
      <c r="O83" s="66" t="s">
        <v>972</v>
      </c>
      <c r="P83" s="172"/>
      <c r="Q83" s="172"/>
      <c r="R83" s="172"/>
      <c r="S83" s="172"/>
      <c r="T83" s="172"/>
      <c r="U83" s="54">
        <v>0.89</v>
      </c>
      <c r="V83" s="172"/>
      <c r="W83" s="172"/>
      <c r="X83" s="66">
        <f t="shared" si="3"/>
        <v>0.89</v>
      </c>
      <c r="Y83" s="72">
        <v>1615</v>
      </c>
      <c r="Z83" s="192" t="str">
        <f t="shared" si="4"/>
        <v>S</v>
      </c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</row>
    <row r="84" spans="1:38" s="45" customFormat="1">
      <c r="A84" s="172"/>
      <c r="B84" s="73" t="s">
        <v>766</v>
      </c>
      <c r="C84" s="54">
        <v>2013</v>
      </c>
      <c r="D84" s="66"/>
      <c r="E84" s="56" t="s">
        <v>172</v>
      </c>
      <c r="F84" s="54">
        <v>2011</v>
      </c>
      <c r="G84" s="54" t="s">
        <v>631</v>
      </c>
      <c r="H84" s="66" t="s">
        <v>159</v>
      </c>
      <c r="I84" s="66" t="s">
        <v>1014</v>
      </c>
      <c r="J84" s="74" t="s">
        <v>1013</v>
      </c>
      <c r="K84" s="54" t="s">
        <v>1091</v>
      </c>
      <c r="L84" s="54" t="s">
        <v>974</v>
      </c>
      <c r="M84" s="172"/>
      <c r="N84" s="172"/>
      <c r="O84" s="66" t="s">
        <v>972</v>
      </c>
      <c r="P84" s="172"/>
      <c r="Q84" s="172"/>
      <c r="R84" s="172"/>
      <c r="S84" s="172"/>
      <c r="T84" s="172"/>
      <c r="U84" s="54">
        <v>0.89</v>
      </c>
      <c r="V84" s="172"/>
      <c r="W84" s="172"/>
      <c r="X84" s="66">
        <f t="shared" si="3"/>
        <v>0.89</v>
      </c>
      <c r="Y84" s="72">
        <v>1615</v>
      </c>
      <c r="Z84" s="192" t="str">
        <f t="shared" si="4"/>
        <v>S</v>
      </c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</row>
    <row r="85" spans="1:38" s="45" customFormat="1">
      <c r="A85" s="172"/>
      <c r="B85" s="73" t="s">
        <v>766</v>
      </c>
      <c r="C85" s="54">
        <v>2013</v>
      </c>
      <c r="D85" s="66"/>
      <c r="E85" s="56" t="s">
        <v>172</v>
      </c>
      <c r="F85" s="54">
        <v>2011</v>
      </c>
      <c r="G85" s="54" t="s">
        <v>631</v>
      </c>
      <c r="H85" s="66" t="s">
        <v>159</v>
      </c>
      <c r="I85" s="66" t="s">
        <v>1014</v>
      </c>
      <c r="J85" s="74" t="s">
        <v>1013</v>
      </c>
      <c r="K85" s="54" t="s">
        <v>1091</v>
      </c>
      <c r="L85" s="54" t="s">
        <v>974</v>
      </c>
      <c r="M85" s="172"/>
      <c r="N85" s="172"/>
      <c r="O85" s="66" t="s">
        <v>972</v>
      </c>
      <c r="P85" s="172"/>
      <c r="Q85" s="172"/>
      <c r="R85" s="172"/>
      <c r="S85" s="172"/>
      <c r="T85" s="172"/>
      <c r="U85" s="54">
        <v>0.89200000000000002</v>
      </c>
      <c r="V85" s="172"/>
      <c r="W85" s="172"/>
      <c r="X85" s="66">
        <f t="shared" si="3"/>
        <v>0.89200000000000002</v>
      </c>
      <c r="Y85" s="72">
        <v>1619</v>
      </c>
      <c r="Z85" s="192" t="str">
        <f t="shared" si="4"/>
        <v>S</v>
      </c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</row>
    <row r="86" spans="1:38" s="45" customFormat="1">
      <c r="A86" s="172"/>
      <c r="B86" s="73" t="s">
        <v>766</v>
      </c>
      <c r="C86" s="54">
        <v>2013</v>
      </c>
      <c r="D86" s="66"/>
      <c r="E86" s="56" t="s">
        <v>172</v>
      </c>
      <c r="F86" s="54">
        <v>2011</v>
      </c>
      <c r="G86" s="54" t="s">
        <v>631</v>
      </c>
      <c r="H86" s="66" t="s">
        <v>159</v>
      </c>
      <c r="I86" s="66" t="s">
        <v>1014</v>
      </c>
      <c r="J86" s="74" t="s">
        <v>1013</v>
      </c>
      <c r="K86" s="54" t="s">
        <v>1091</v>
      </c>
      <c r="L86" s="54" t="s">
        <v>974</v>
      </c>
      <c r="M86" s="172"/>
      <c r="N86" s="172"/>
      <c r="O86" s="66" t="s">
        <v>972</v>
      </c>
      <c r="P86" s="172"/>
      <c r="Q86" s="172"/>
      <c r="R86" s="172"/>
      <c r="S86" s="172"/>
      <c r="T86" s="172"/>
      <c r="U86" s="54">
        <v>0.89200000000000002</v>
      </c>
      <c r="V86" s="172"/>
      <c r="W86" s="172"/>
      <c r="X86" s="66">
        <f t="shared" si="3"/>
        <v>0.89200000000000002</v>
      </c>
      <c r="Y86" s="72">
        <v>1620</v>
      </c>
      <c r="Z86" s="192" t="str">
        <f t="shared" si="4"/>
        <v>S</v>
      </c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</row>
    <row r="87" spans="1:38" s="45" customFormat="1">
      <c r="A87" s="172"/>
      <c r="B87" s="73" t="s">
        <v>766</v>
      </c>
      <c r="C87" s="54">
        <v>2013</v>
      </c>
      <c r="D87" s="66"/>
      <c r="E87" s="56" t="s">
        <v>172</v>
      </c>
      <c r="F87" s="54">
        <v>2011</v>
      </c>
      <c r="G87" s="54" t="s">
        <v>631</v>
      </c>
      <c r="H87" s="66" t="s">
        <v>159</v>
      </c>
      <c r="I87" s="66" t="s">
        <v>1014</v>
      </c>
      <c r="J87" s="74" t="s">
        <v>1013</v>
      </c>
      <c r="K87" s="54" t="s">
        <v>1091</v>
      </c>
      <c r="L87" s="54" t="s">
        <v>975</v>
      </c>
      <c r="M87" s="172"/>
      <c r="N87" s="172"/>
      <c r="O87" s="66" t="s">
        <v>976</v>
      </c>
      <c r="P87" s="172"/>
      <c r="Q87" s="172"/>
      <c r="R87" s="172"/>
      <c r="S87" s="172"/>
      <c r="T87" s="172"/>
      <c r="U87" s="54">
        <v>0.89400000000000002</v>
      </c>
      <c r="V87" s="172"/>
      <c r="W87" s="172"/>
      <c r="X87" s="66">
        <f t="shared" si="3"/>
        <v>0.89400000000000002</v>
      </c>
      <c r="Y87" s="72">
        <v>1621</v>
      </c>
      <c r="Z87" s="192" t="str">
        <f t="shared" si="4"/>
        <v>S</v>
      </c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</row>
    <row r="88" spans="1:38" s="45" customFormat="1">
      <c r="A88" s="172"/>
      <c r="B88" s="73" t="s">
        <v>766</v>
      </c>
      <c r="C88" s="54">
        <v>2013</v>
      </c>
      <c r="D88" s="66"/>
      <c r="E88" s="56" t="s">
        <v>172</v>
      </c>
      <c r="F88" s="54">
        <v>2011</v>
      </c>
      <c r="G88" s="54" t="s">
        <v>631</v>
      </c>
      <c r="H88" s="66" t="s">
        <v>159</v>
      </c>
      <c r="I88" s="66" t="s">
        <v>1014</v>
      </c>
      <c r="J88" s="74" t="s">
        <v>1013</v>
      </c>
      <c r="K88" s="54" t="s">
        <v>1091</v>
      </c>
      <c r="L88" s="54" t="s">
        <v>975</v>
      </c>
      <c r="M88" s="172"/>
      <c r="N88" s="172"/>
      <c r="O88" s="66" t="s">
        <v>976</v>
      </c>
      <c r="P88" s="172"/>
      <c r="Q88" s="172"/>
      <c r="R88" s="172"/>
      <c r="S88" s="172"/>
      <c r="T88" s="172"/>
      <c r="U88" s="54">
        <v>0.89500000000000002</v>
      </c>
      <c r="V88" s="172"/>
      <c r="W88" s="172"/>
      <c r="X88" s="66">
        <f t="shared" si="3"/>
        <v>0.89500000000000002</v>
      </c>
      <c r="Y88" s="72">
        <v>1624</v>
      </c>
      <c r="Z88" s="192" t="str">
        <f t="shared" si="4"/>
        <v>S</v>
      </c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</row>
    <row r="89" spans="1:38" s="45" customFormat="1">
      <c r="A89" s="172"/>
      <c r="B89" s="73" t="s">
        <v>766</v>
      </c>
      <c r="C89" s="54">
        <v>2013</v>
      </c>
      <c r="D89" s="66"/>
      <c r="E89" s="56" t="s">
        <v>172</v>
      </c>
      <c r="F89" s="54">
        <v>2011</v>
      </c>
      <c r="G89" s="54" t="s">
        <v>631</v>
      </c>
      <c r="H89" s="66" t="s">
        <v>159</v>
      </c>
      <c r="I89" s="66" t="s">
        <v>1014</v>
      </c>
      <c r="J89" s="74" t="s">
        <v>1013</v>
      </c>
      <c r="K89" s="54" t="s">
        <v>1091</v>
      </c>
      <c r="L89" s="54" t="s">
        <v>978</v>
      </c>
      <c r="M89" s="172"/>
      <c r="N89" s="172"/>
      <c r="O89" s="66" t="s">
        <v>977</v>
      </c>
      <c r="P89" s="172"/>
      <c r="Q89" s="172"/>
      <c r="R89" s="172"/>
      <c r="S89" s="172"/>
      <c r="T89" s="172"/>
      <c r="U89" s="54">
        <v>0.89500000000000002</v>
      </c>
      <c r="V89" s="172"/>
      <c r="W89" s="172"/>
      <c r="X89" s="66">
        <f t="shared" si="3"/>
        <v>0.89500000000000002</v>
      </c>
      <c r="Y89" s="72">
        <v>1625</v>
      </c>
      <c r="Z89" s="192" t="str">
        <f t="shared" si="4"/>
        <v>S</v>
      </c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</row>
    <row r="90" spans="1:38" s="45" customFormat="1">
      <c r="A90" s="172"/>
      <c r="B90" s="73" t="s">
        <v>766</v>
      </c>
      <c r="C90" s="54">
        <v>2013</v>
      </c>
      <c r="D90" s="66"/>
      <c r="E90" s="56" t="s">
        <v>172</v>
      </c>
      <c r="F90" s="54">
        <v>2011</v>
      </c>
      <c r="G90" s="54" t="s">
        <v>631</v>
      </c>
      <c r="H90" s="66" t="s">
        <v>159</v>
      </c>
      <c r="I90" s="66" t="s">
        <v>1014</v>
      </c>
      <c r="J90" s="74" t="s">
        <v>1013</v>
      </c>
      <c r="K90" s="54" t="s">
        <v>1091</v>
      </c>
      <c r="L90" s="54" t="s">
        <v>978</v>
      </c>
      <c r="M90" s="172"/>
      <c r="N90" s="172"/>
      <c r="O90" s="66" t="s">
        <v>977</v>
      </c>
      <c r="P90" s="172"/>
      <c r="Q90" s="172"/>
      <c r="R90" s="172"/>
      <c r="S90" s="172"/>
      <c r="T90" s="172"/>
      <c r="U90" s="54">
        <v>0.89700000000000002</v>
      </c>
      <c r="V90" s="172"/>
      <c r="W90" s="172"/>
      <c r="X90" s="66">
        <f t="shared" si="3"/>
        <v>0.89700000000000002</v>
      </c>
      <c r="Y90" s="72">
        <v>1629</v>
      </c>
      <c r="Z90" s="192" t="str">
        <f t="shared" si="4"/>
        <v>S</v>
      </c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</row>
    <row r="91" spans="1:38" s="45" customFormat="1">
      <c r="A91" s="172"/>
      <c r="B91" s="73" t="s">
        <v>766</v>
      </c>
      <c r="C91" s="54">
        <v>2013</v>
      </c>
      <c r="D91" s="66"/>
      <c r="E91" s="56" t="s">
        <v>172</v>
      </c>
      <c r="F91" s="54">
        <v>2011</v>
      </c>
      <c r="G91" s="54" t="s">
        <v>631</v>
      </c>
      <c r="H91" s="66" t="s">
        <v>159</v>
      </c>
      <c r="I91" s="66" t="s">
        <v>1014</v>
      </c>
      <c r="J91" s="74" t="s">
        <v>1013</v>
      </c>
      <c r="K91" s="54" t="s">
        <v>1091</v>
      </c>
      <c r="L91" s="54" t="s">
        <v>974</v>
      </c>
      <c r="M91" s="172"/>
      <c r="N91" s="172"/>
      <c r="O91" s="66" t="s">
        <v>972</v>
      </c>
      <c r="P91" s="172"/>
      <c r="Q91" s="172"/>
      <c r="R91" s="172"/>
      <c r="S91" s="172"/>
      <c r="T91" s="172"/>
      <c r="U91" s="54">
        <v>0.89800000000000002</v>
      </c>
      <c r="V91" s="172"/>
      <c r="W91" s="172"/>
      <c r="X91" s="66">
        <f t="shared" si="3"/>
        <v>0.89800000000000002</v>
      </c>
      <c r="Y91" s="72">
        <v>1631</v>
      </c>
      <c r="Z91" s="192" t="str">
        <f t="shared" si="4"/>
        <v>S</v>
      </c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</row>
    <row r="92" spans="1:38" s="45" customFormat="1">
      <c r="A92" s="172"/>
      <c r="B92" s="73" t="s">
        <v>766</v>
      </c>
      <c r="C92" s="54">
        <v>2013</v>
      </c>
      <c r="D92" s="66"/>
      <c r="E92" s="56" t="s">
        <v>172</v>
      </c>
      <c r="F92" s="54">
        <v>2011</v>
      </c>
      <c r="G92" s="54" t="s">
        <v>631</v>
      </c>
      <c r="H92" s="66" t="s">
        <v>159</v>
      </c>
      <c r="I92" s="66" t="s">
        <v>1014</v>
      </c>
      <c r="J92" s="74" t="s">
        <v>1013</v>
      </c>
      <c r="K92" s="54" t="s">
        <v>1091</v>
      </c>
      <c r="L92" s="54" t="s">
        <v>975</v>
      </c>
      <c r="M92" s="172"/>
      <c r="N92" s="172"/>
      <c r="O92" s="66" t="s">
        <v>976</v>
      </c>
      <c r="P92" s="172"/>
      <c r="Q92" s="172"/>
      <c r="R92" s="172"/>
      <c r="S92" s="172"/>
      <c r="T92" s="172"/>
      <c r="U92" s="54">
        <v>0.89900000000000002</v>
      </c>
      <c r="V92" s="172"/>
      <c r="W92" s="172"/>
      <c r="X92" s="66">
        <f t="shared" si="3"/>
        <v>0.89900000000000002</v>
      </c>
      <c r="Y92" s="72">
        <v>1632</v>
      </c>
      <c r="Z92" s="192" t="str">
        <f t="shared" si="4"/>
        <v>S</v>
      </c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</row>
    <row r="93" spans="1:38" s="45" customFormat="1">
      <c r="A93" s="53">
        <v>203</v>
      </c>
      <c r="B93" s="73" t="s">
        <v>940</v>
      </c>
      <c r="C93" s="54">
        <v>2011</v>
      </c>
      <c r="D93" s="73" t="s">
        <v>941</v>
      </c>
      <c r="E93" s="56" t="s">
        <v>20</v>
      </c>
      <c r="F93" s="54">
        <v>2009</v>
      </c>
      <c r="G93" s="54" t="s">
        <v>326</v>
      </c>
      <c r="H93" s="54"/>
      <c r="I93" s="54"/>
      <c r="J93" s="172" t="s">
        <v>1013</v>
      </c>
      <c r="K93" s="54" t="s">
        <v>1091</v>
      </c>
      <c r="L93" s="54" t="s">
        <v>725</v>
      </c>
      <c r="M93" s="54"/>
      <c r="N93" s="54"/>
      <c r="O93" s="54">
        <v>37</v>
      </c>
      <c r="P93" s="54"/>
      <c r="Q93" s="54"/>
      <c r="R93" s="54"/>
      <c r="S93" s="54"/>
      <c r="T93" s="54"/>
      <c r="U93" s="54">
        <v>0.9</v>
      </c>
      <c r="V93" s="54"/>
      <c r="W93" s="54"/>
      <c r="X93" s="66">
        <f t="shared" si="3"/>
        <v>0.9</v>
      </c>
      <c r="Y93" s="72">
        <v>1551</v>
      </c>
      <c r="Z93" s="192" t="str">
        <f t="shared" si="4"/>
        <v>F</v>
      </c>
      <c r="AJ93" s="172"/>
      <c r="AK93" s="172"/>
      <c r="AL93" s="172"/>
    </row>
    <row r="94" spans="1:38" s="45" customFormat="1">
      <c r="A94" s="172"/>
      <c r="B94" s="73" t="s">
        <v>766</v>
      </c>
      <c r="C94" s="54">
        <v>2013</v>
      </c>
      <c r="D94" s="66"/>
      <c r="E94" s="56" t="s">
        <v>172</v>
      </c>
      <c r="F94" s="54">
        <v>2011</v>
      </c>
      <c r="G94" s="54" t="s">
        <v>631</v>
      </c>
      <c r="H94" s="66" t="s">
        <v>159</v>
      </c>
      <c r="I94" s="66" t="s">
        <v>1014</v>
      </c>
      <c r="J94" s="74" t="s">
        <v>1013</v>
      </c>
      <c r="K94" s="54" t="s">
        <v>1091</v>
      </c>
      <c r="L94" s="54" t="s">
        <v>974</v>
      </c>
      <c r="M94" s="172"/>
      <c r="N94" s="172"/>
      <c r="O94" s="66" t="s">
        <v>972</v>
      </c>
      <c r="P94" s="172"/>
      <c r="Q94" s="172"/>
      <c r="R94" s="172"/>
      <c r="S94" s="172"/>
      <c r="T94" s="172"/>
      <c r="U94" s="54">
        <v>0.9</v>
      </c>
      <c r="V94" s="172"/>
      <c r="W94" s="172"/>
      <c r="X94" s="66">
        <f t="shared" si="3"/>
        <v>0.9</v>
      </c>
      <c r="Y94" s="72">
        <v>1637</v>
      </c>
      <c r="Z94" s="192" t="str">
        <f t="shared" si="4"/>
        <v>F</v>
      </c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</row>
    <row r="95" spans="1:38" s="45" customFormat="1">
      <c r="A95" s="172"/>
      <c r="B95" s="73" t="s">
        <v>766</v>
      </c>
      <c r="C95" s="54">
        <v>2013</v>
      </c>
      <c r="D95" s="66"/>
      <c r="E95" s="56" t="s">
        <v>172</v>
      </c>
      <c r="F95" s="54">
        <v>2011</v>
      </c>
      <c r="G95" s="54" t="s">
        <v>631</v>
      </c>
      <c r="H95" s="66" t="s">
        <v>159</v>
      </c>
      <c r="I95" s="66" t="s">
        <v>1014</v>
      </c>
      <c r="J95" s="74" t="s">
        <v>1013</v>
      </c>
      <c r="K95" s="54" t="s">
        <v>1091</v>
      </c>
      <c r="L95" s="54" t="s">
        <v>975</v>
      </c>
      <c r="M95" s="172"/>
      <c r="N95" s="172"/>
      <c r="O95" s="66" t="s">
        <v>976</v>
      </c>
      <c r="P95" s="172"/>
      <c r="Q95" s="172"/>
      <c r="R95" s="172"/>
      <c r="S95" s="172"/>
      <c r="T95" s="172"/>
      <c r="U95" s="54">
        <v>0.90100000000000002</v>
      </c>
      <c r="V95" s="172"/>
      <c r="W95" s="172"/>
      <c r="X95" s="66">
        <f t="shared" si="3"/>
        <v>0.90100000000000002</v>
      </c>
      <c r="Y95" s="72">
        <v>1636</v>
      </c>
      <c r="Z95" s="192" t="str">
        <f t="shared" si="4"/>
        <v>F</v>
      </c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</row>
    <row r="96" spans="1:38" s="45" customFormat="1">
      <c r="A96" s="172"/>
      <c r="B96" s="73" t="s">
        <v>766</v>
      </c>
      <c r="C96" s="54">
        <v>2013</v>
      </c>
      <c r="D96" s="66"/>
      <c r="E96" s="56" t="s">
        <v>172</v>
      </c>
      <c r="F96" s="54">
        <v>2011</v>
      </c>
      <c r="G96" s="54" t="s">
        <v>631</v>
      </c>
      <c r="H96" s="66" t="s">
        <v>159</v>
      </c>
      <c r="I96" s="66" t="s">
        <v>1014</v>
      </c>
      <c r="J96" s="74" t="s">
        <v>1013</v>
      </c>
      <c r="K96" s="54" t="s">
        <v>1091</v>
      </c>
      <c r="L96" s="54" t="s">
        <v>974</v>
      </c>
      <c r="M96" s="172"/>
      <c r="N96" s="172"/>
      <c r="O96" s="66" t="s">
        <v>972</v>
      </c>
      <c r="P96" s="172"/>
      <c r="Q96" s="172"/>
      <c r="R96" s="172"/>
      <c r="S96" s="172"/>
      <c r="T96" s="172"/>
      <c r="U96" s="54">
        <v>0.90100000000000002</v>
      </c>
      <c r="V96" s="172"/>
      <c r="W96" s="172"/>
      <c r="X96" s="66">
        <f t="shared" si="3"/>
        <v>0.90100000000000002</v>
      </c>
      <c r="Y96" s="72">
        <v>1637</v>
      </c>
      <c r="Z96" s="192" t="str">
        <f t="shared" si="4"/>
        <v>F</v>
      </c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</row>
    <row r="97" spans="1:38" s="45" customFormat="1">
      <c r="A97" s="172"/>
      <c r="B97" s="73" t="s">
        <v>766</v>
      </c>
      <c r="C97" s="54">
        <v>2013</v>
      </c>
      <c r="D97" s="66"/>
      <c r="E97" s="56" t="s">
        <v>172</v>
      </c>
      <c r="F97" s="54">
        <v>2011</v>
      </c>
      <c r="G97" s="54" t="s">
        <v>631</v>
      </c>
      <c r="H97" s="66" t="s">
        <v>159</v>
      </c>
      <c r="I97" s="66" t="s">
        <v>1014</v>
      </c>
      <c r="J97" s="74" t="s">
        <v>1013</v>
      </c>
      <c r="K97" s="54" t="s">
        <v>1091</v>
      </c>
      <c r="L97" s="54" t="s">
        <v>974</v>
      </c>
      <c r="M97" s="172"/>
      <c r="N97" s="172"/>
      <c r="O97" s="66" t="s">
        <v>972</v>
      </c>
      <c r="P97" s="172"/>
      <c r="Q97" s="172"/>
      <c r="R97" s="172"/>
      <c r="S97" s="172"/>
      <c r="T97" s="172"/>
      <c r="U97" s="54">
        <v>0.90100000000000002</v>
      </c>
      <c r="V97" s="172"/>
      <c r="W97" s="172"/>
      <c r="X97" s="66">
        <f t="shared" si="3"/>
        <v>0.90100000000000002</v>
      </c>
      <c r="Y97" s="72">
        <v>1637</v>
      </c>
      <c r="Z97" s="192" t="str">
        <f t="shared" si="4"/>
        <v>F</v>
      </c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</row>
    <row r="98" spans="1:38" s="45" customFormat="1">
      <c r="A98" s="172"/>
      <c r="B98" s="73" t="s">
        <v>766</v>
      </c>
      <c r="C98" s="54">
        <v>2013</v>
      </c>
      <c r="D98" s="66"/>
      <c r="E98" s="56" t="s">
        <v>172</v>
      </c>
      <c r="F98" s="54">
        <v>2011</v>
      </c>
      <c r="G98" s="54" t="s">
        <v>631</v>
      </c>
      <c r="H98" s="66" t="s">
        <v>159</v>
      </c>
      <c r="I98" s="66" t="s">
        <v>1014</v>
      </c>
      <c r="J98" s="74" t="s">
        <v>1013</v>
      </c>
      <c r="K98" s="54" t="s">
        <v>1091</v>
      </c>
      <c r="L98" s="54" t="s">
        <v>978</v>
      </c>
      <c r="M98" s="172"/>
      <c r="N98" s="172"/>
      <c r="O98" s="66" t="s">
        <v>977</v>
      </c>
      <c r="P98" s="172"/>
      <c r="Q98" s="172"/>
      <c r="R98" s="172"/>
      <c r="S98" s="172"/>
      <c r="T98" s="172"/>
      <c r="U98" s="54">
        <v>0.90200000000000002</v>
      </c>
      <c r="V98" s="172"/>
      <c r="W98" s="172"/>
      <c r="X98" s="66">
        <f t="shared" si="3"/>
        <v>0.90200000000000002</v>
      </c>
      <c r="Y98" s="72">
        <v>1639</v>
      </c>
      <c r="Z98" s="192" t="str">
        <f t="shared" ref="Z98:Z129" si="5">IF(X98&lt;&gt;"",IF(X98&lt;0.9,"S","F"),"")</f>
        <v>F</v>
      </c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</row>
    <row r="99" spans="1:38" s="45" customFormat="1">
      <c r="A99" s="172"/>
      <c r="B99" s="73" t="s">
        <v>766</v>
      </c>
      <c r="C99" s="54">
        <v>2013</v>
      </c>
      <c r="D99" s="66"/>
      <c r="E99" s="56" t="s">
        <v>172</v>
      </c>
      <c r="F99" s="54">
        <v>2011</v>
      </c>
      <c r="G99" s="54" t="s">
        <v>631</v>
      </c>
      <c r="H99" s="66" t="s">
        <v>159</v>
      </c>
      <c r="I99" s="66" t="s">
        <v>1014</v>
      </c>
      <c r="J99" s="74" t="s">
        <v>1013</v>
      </c>
      <c r="K99" s="54" t="s">
        <v>1091</v>
      </c>
      <c r="L99" s="54" t="s">
        <v>975</v>
      </c>
      <c r="M99" s="172"/>
      <c r="N99" s="172"/>
      <c r="O99" s="66" t="s">
        <v>976</v>
      </c>
      <c r="P99" s="172"/>
      <c r="Q99" s="172"/>
      <c r="R99" s="172"/>
      <c r="S99" s="172"/>
      <c r="T99" s="172"/>
      <c r="U99" s="54">
        <v>0.90200000000000002</v>
      </c>
      <c r="V99" s="172"/>
      <c r="W99" s="172"/>
      <c r="X99" s="66">
        <f t="shared" si="3"/>
        <v>0.90200000000000002</v>
      </c>
      <c r="Y99" s="72">
        <v>1641</v>
      </c>
      <c r="Z99" s="192" t="str">
        <f t="shared" si="5"/>
        <v>F</v>
      </c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</row>
    <row r="100" spans="1:38" s="45" customFormat="1">
      <c r="A100" s="172"/>
      <c r="B100" s="73" t="s">
        <v>766</v>
      </c>
      <c r="C100" s="54">
        <v>2013</v>
      </c>
      <c r="D100" s="66"/>
      <c r="E100" s="56" t="s">
        <v>172</v>
      </c>
      <c r="F100" s="54">
        <v>2011</v>
      </c>
      <c r="G100" s="54" t="s">
        <v>631</v>
      </c>
      <c r="H100" s="66" t="s">
        <v>159</v>
      </c>
      <c r="I100" s="66" t="s">
        <v>1014</v>
      </c>
      <c r="J100" s="74" t="s">
        <v>1013</v>
      </c>
      <c r="K100" s="54" t="s">
        <v>1091</v>
      </c>
      <c r="L100" s="54" t="s">
        <v>974</v>
      </c>
      <c r="M100" s="172"/>
      <c r="N100" s="172"/>
      <c r="O100" s="66" t="s">
        <v>972</v>
      </c>
      <c r="P100" s="172"/>
      <c r="Q100" s="172"/>
      <c r="R100" s="172"/>
      <c r="S100" s="172"/>
      <c r="T100" s="172"/>
      <c r="U100" s="54">
        <v>0.90300000000000002</v>
      </c>
      <c r="V100" s="172"/>
      <c r="W100" s="172"/>
      <c r="X100" s="66">
        <f t="shared" si="3"/>
        <v>0.90300000000000002</v>
      </c>
      <c r="Y100" s="72">
        <v>1641</v>
      </c>
      <c r="Z100" s="192" t="str">
        <f t="shared" si="5"/>
        <v>F</v>
      </c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</row>
    <row r="101" spans="1:38" s="45" customFormat="1">
      <c r="A101" s="172"/>
      <c r="B101" s="73" t="s">
        <v>766</v>
      </c>
      <c r="C101" s="54">
        <v>2013</v>
      </c>
      <c r="D101" s="66"/>
      <c r="E101" s="56" t="s">
        <v>172</v>
      </c>
      <c r="F101" s="54">
        <v>2011</v>
      </c>
      <c r="G101" s="54" t="s">
        <v>631</v>
      </c>
      <c r="H101" s="66" t="s">
        <v>159</v>
      </c>
      <c r="I101" s="66" t="s">
        <v>1014</v>
      </c>
      <c r="J101" s="74" t="s">
        <v>1013</v>
      </c>
      <c r="K101" s="54" t="s">
        <v>1091</v>
      </c>
      <c r="L101" s="54" t="s">
        <v>975</v>
      </c>
      <c r="M101" s="172"/>
      <c r="N101" s="172"/>
      <c r="O101" s="66" t="s">
        <v>976</v>
      </c>
      <c r="P101" s="172"/>
      <c r="Q101" s="172"/>
      <c r="R101" s="172"/>
      <c r="S101" s="172"/>
      <c r="T101" s="172"/>
      <c r="U101" s="54">
        <v>0.90300000000000002</v>
      </c>
      <c r="V101" s="172"/>
      <c r="W101" s="172"/>
      <c r="X101" s="66">
        <f t="shared" si="3"/>
        <v>0.90300000000000002</v>
      </c>
      <c r="Y101" s="72">
        <v>1642</v>
      </c>
      <c r="Z101" s="192" t="str">
        <f t="shared" si="5"/>
        <v>F</v>
      </c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</row>
    <row r="102" spans="1:38" s="45" customFormat="1">
      <c r="A102" s="172"/>
      <c r="B102" s="73" t="s">
        <v>766</v>
      </c>
      <c r="C102" s="54">
        <v>2013</v>
      </c>
      <c r="D102" s="66"/>
      <c r="E102" s="56" t="s">
        <v>172</v>
      </c>
      <c r="F102" s="54">
        <v>2011</v>
      </c>
      <c r="G102" s="54" t="s">
        <v>631</v>
      </c>
      <c r="H102" s="66" t="s">
        <v>159</v>
      </c>
      <c r="I102" s="66" t="s">
        <v>1014</v>
      </c>
      <c r="J102" s="74" t="s">
        <v>1013</v>
      </c>
      <c r="K102" s="54" t="s">
        <v>1091</v>
      </c>
      <c r="L102" s="54" t="s">
        <v>975</v>
      </c>
      <c r="M102" s="172"/>
      <c r="N102" s="172"/>
      <c r="O102" s="66" t="s">
        <v>976</v>
      </c>
      <c r="P102" s="172"/>
      <c r="Q102" s="172"/>
      <c r="R102" s="172"/>
      <c r="S102" s="172"/>
      <c r="T102" s="172"/>
      <c r="U102" s="54">
        <v>0.90400000000000003</v>
      </c>
      <c r="V102" s="172"/>
      <c r="W102" s="172"/>
      <c r="X102" s="66">
        <f t="shared" si="3"/>
        <v>0.90400000000000003</v>
      </c>
      <c r="Y102" s="72">
        <v>1642</v>
      </c>
      <c r="Z102" s="192" t="str">
        <f t="shared" si="5"/>
        <v>F</v>
      </c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</row>
    <row r="103" spans="1:38" s="45" customFormat="1">
      <c r="A103" s="53">
        <v>174</v>
      </c>
      <c r="B103" s="54" t="s">
        <v>697</v>
      </c>
      <c r="C103" s="54">
        <v>2009</v>
      </c>
      <c r="D103" s="78" t="s">
        <v>698</v>
      </c>
      <c r="E103" s="56" t="s">
        <v>20</v>
      </c>
      <c r="F103" s="57" t="s">
        <v>701</v>
      </c>
      <c r="G103" s="54" t="s">
        <v>705</v>
      </c>
      <c r="H103" s="54" t="s">
        <v>159</v>
      </c>
      <c r="I103" s="54"/>
      <c r="J103" s="172" t="s">
        <v>1013</v>
      </c>
      <c r="K103" s="54" t="s">
        <v>1091</v>
      </c>
      <c r="L103" s="54" t="s">
        <v>712</v>
      </c>
      <c r="M103" s="59"/>
      <c r="N103" s="59"/>
      <c r="O103" s="54" t="s">
        <v>713</v>
      </c>
      <c r="P103" s="60"/>
      <c r="Q103" s="60"/>
      <c r="R103" s="54"/>
      <c r="S103" s="54"/>
      <c r="T103" s="54"/>
      <c r="U103" s="61">
        <v>0.91500000000000004</v>
      </c>
      <c r="V103" s="167"/>
      <c r="W103" s="167"/>
      <c r="X103" s="66">
        <f t="shared" si="3"/>
        <v>0.91500000000000004</v>
      </c>
      <c r="Y103" s="219">
        <v>1552</v>
      </c>
      <c r="Z103" s="192" t="str">
        <f t="shared" si="5"/>
        <v>F</v>
      </c>
      <c r="AJ103" s="172"/>
      <c r="AK103" s="172"/>
      <c r="AL103" s="172"/>
    </row>
    <row r="104" spans="1:38" s="45" customFormat="1">
      <c r="A104" s="172"/>
      <c r="B104" s="73" t="s">
        <v>766</v>
      </c>
      <c r="C104" s="54">
        <v>2013</v>
      </c>
      <c r="D104" s="66"/>
      <c r="E104" s="56" t="s">
        <v>172</v>
      </c>
      <c r="F104" s="54">
        <v>2011</v>
      </c>
      <c r="G104" s="54" t="s">
        <v>631</v>
      </c>
      <c r="H104" s="66" t="s">
        <v>159</v>
      </c>
      <c r="I104" s="66" t="s">
        <v>1014</v>
      </c>
      <c r="J104" s="74" t="s">
        <v>1013</v>
      </c>
      <c r="K104" s="54" t="s">
        <v>1091</v>
      </c>
      <c r="L104" s="54" t="s">
        <v>975</v>
      </c>
      <c r="M104" s="172"/>
      <c r="N104" s="172"/>
      <c r="O104" s="66" t="s">
        <v>976</v>
      </c>
      <c r="P104" s="172"/>
      <c r="Q104" s="172"/>
      <c r="R104" s="172"/>
      <c r="S104" s="172"/>
      <c r="T104" s="172"/>
      <c r="U104" s="54">
        <v>0.91600000000000004</v>
      </c>
      <c r="V104" s="172"/>
      <c r="W104" s="172"/>
      <c r="X104" s="66">
        <f t="shared" si="3"/>
        <v>0.91600000000000004</v>
      </c>
      <c r="Y104" s="72">
        <v>1668</v>
      </c>
      <c r="Z104" s="192" t="str">
        <f t="shared" si="5"/>
        <v>F</v>
      </c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</row>
    <row r="105" spans="1:38" s="45" customFormat="1">
      <c r="A105" s="172"/>
      <c r="B105" s="73" t="s">
        <v>766</v>
      </c>
      <c r="C105" s="54">
        <v>2013</v>
      </c>
      <c r="D105" s="66"/>
      <c r="E105" s="56" t="s">
        <v>172</v>
      </c>
      <c r="F105" s="54">
        <v>2011</v>
      </c>
      <c r="G105" s="54" t="s">
        <v>631</v>
      </c>
      <c r="H105" s="66" t="s">
        <v>159</v>
      </c>
      <c r="I105" s="66" t="s">
        <v>1014</v>
      </c>
      <c r="J105" s="74" t="s">
        <v>1013</v>
      </c>
      <c r="K105" s="54" t="s">
        <v>1091</v>
      </c>
      <c r="L105" s="54" t="s">
        <v>978</v>
      </c>
      <c r="M105" s="172"/>
      <c r="N105" s="172"/>
      <c r="O105" s="66" t="s">
        <v>977</v>
      </c>
      <c r="P105" s="172"/>
      <c r="Q105" s="172"/>
      <c r="R105" s="172"/>
      <c r="S105" s="172"/>
      <c r="T105" s="172"/>
      <c r="U105" s="54">
        <v>0.91800000000000004</v>
      </c>
      <c r="V105" s="172"/>
      <c r="W105" s="172"/>
      <c r="X105" s="66">
        <f t="shared" si="3"/>
        <v>0.91800000000000004</v>
      </c>
      <c r="Y105" s="72">
        <v>1671</v>
      </c>
      <c r="Z105" s="192" t="str">
        <f t="shared" si="5"/>
        <v>F</v>
      </c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</row>
    <row r="106" spans="1:38" s="45" customFormat="1">
      <c r="A106" s="53">
        <v>174</v>
      </c>
      <c r="B106" s="54" t="s">
        <v>697</v>
      </c>
      <c r="C106" s="54">
        <v>2009</v>
      </c>
      <c r="D106" s="78" t="s">
        <v>698</v>
      </c>
      <c r="E106" s="56" t="s">
        <v>20</v>
      </c>
      <c r="F106" s="57" t="s">
        <v>701</v>
      </c>
      <c r="G106" s="54" t="s">
        <v>705</v>
      </c>
      <c r="H106" s="54" t="s">
        <v>159</v>
      </c>
      <c r="I106" s="54"/>
      <c r="J106" s="301" t="s">
        <v>1013</v>
      </c>
      <c r="K106" s="54" t="s">
        <v>1091</v>
      </c>
      <c r="L106" s="54" t="s">
        <v>725</v>
      </c>
      <c r="M106" s="59"/>
      <c r="N106" s="59"/>
      <c r="O106" s="54" t="s">
        <v>725</v>
      </c>
      <c r="P106" s="60"/>
      <c r="Q106" s="60"/>
      <c r="R106" s="54"/>
      <c r="S106" s="54"/>
      <c r="T106" s="54"/>
      <c r="U106" s="61">
        <v>0.92</v>
      </c>
      <c r="V106" s="167"/>
      <c r="W106" s="167"/>
      <c r="X106" s="66">
        <f t="shared" si="3"/>
        <v>0.92</v>
      </c>
      <c r="Y106" s="219">
        <v>1528</v>
      </c>
      <c r="Z106" s="192" t="str">
        <f t="shared" si="5"/>
        <v>F</v>
      </c>
      <c r="AJ106" s="172"/>
      <c r="AK106" s="172"/>
      <c r="AL106" s="172"/>
    </row>
    <row r="107" spans="1:38" s="45" customFormat="1">
      <c r="A107" s="172"/>
      <c r="B107" s="73" t="s">
        <v>766</v>
      </c>
      <c r="C107" s="54">
        <v>2013</v>
      </c>
      <c r="D107" s="66"/>
      <c r="E107" s="56" t="s">
        <v>172</v>
      </c>
      <c r="F107" s="54">
        <v>2011</v>
      </c>
      <c r="G107" s="54" t="s">
        <v>631</v>
      </c>
      <c r="H107" s="66" t="s">
        <v>159</v>
      </c>
      <c r="I107" s="66" t="s">
        <v>1014</v>
      </c>
      <c r="J107" s="74" t="s">
        <v>1013</v>
      </c>
      <c r="K107" s="54" t="s">
        <v>1091</v>
      </c>
      <c r="L107" s="54" t="s">
        <v>974</v>
      </c>
      <c r="M107" s="172"/>
      <c r="N107" s="172"/>
      <c r="O107" s="66" t="s">
        <v>972</v>
      </c>
      <c r="P107" s="172"/>
      <c r="Q107" s="172"/>
      <c r="R107" s="172"/>
      <c r="S107" s="172"/>
      <c r="T107" s="172"/>
      <c r="U107" s="54">
        <v>0.92300000000000004</v>
      </c>
      <c r="V107" s="172"/>
      <c r="W107" s="172"/>
      <c r="X107" s="66">
        <f t="shared" si="3"/>
        <v>0.92300000000000004</v>
      </c>
      <c r="Y107" s="72">
        <v>1681</v>
      </c>
      <c r="Z107" s="192" t="str">
        <f t="shared" si="5"/>
        <v>F</v>
      </c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</row>
    <row r="108" spans="1:38" s="45" customFormat="1">
      <c r="A108" s="53">
        <v>203</v>
      </c>
      <c r="B108" s="73" t="s">
        <v>940</v>
      </c>
      <c r="C108" s="54">
        <v>2011</v>
      </c>
      <c r="D108" s="73" t="s">
        <v>941</v>
      </c>
      <c r="E108" s="56" t="s">
        <v>20</v>
      </c>
      <c r="F108" s="54">
        <v>2009</v>
      </c>
      <c r="G108" s="54" t="s">
        <v>326</v>
      </c>
      <c r="H108" s="54"/>
      <c r="I108" s="54"/>
      <c r="J108" s="172" t="s">
        <v>1013</v>
      </c>
      <c r="K108" s="54" t="s">
        <v>1091</v>
      </c>
      <c r="L108" s="54" t="s">
        <v>725</v>
      </c>
      <c r="M108" s="54"/>
      <c r="N108" s="54"/>
      <c r="O108" s="54">
        <v>38</v>
      </c>
      <c r="P108" s="54"/>
      <c r="Q108" s="54"/>
      <c r="R108" s="54"/>
      <c r="S108" s="54"/>
      <c r="T108" s="54"/>
      <c r="U108" s="54">
        <v>0.93</v>
      </c>
      <c r="V108" s="54"/>
      <c r="W108" s="54"/>
      <c r="X108" s="66">
        <f t="shared" si="3"/>
        <v>0.93</v>
      </c>
      <c r="Y108" s="72">
        <v>1716</v>
      </c>
      <c r="Z108" s="192" t="str">
        <f t="shared" si="5"/>
        <v>F</v>
      </c>
      <c r="AJ108" s="172"/>
      <c r="AK108" s="172"/>
      <c r="AL108" s="172"/>
    </row>
    <row r="109" spans="1:38" s="107" customFormat="1">
      <c r="A109" s="97">
        <v>181</v>
      </c>
      <c r="B109" s="98" t="s">
        <v>766</v>
      </c>
      <c r="C109" s="98">
        <v>2009</v>
      </c>
      <c r="D109" s="112" t="s">
        <v>767</v>
      </c>
      <c r="E109" s="113" t="s">
        <v>49</v>
      </c>
      <c r="F109" s="114" t="s">
        <v>773</v>
      </c>
      <c r="G109" s="98" t="s">
        <v>774</v>
      </c>
      <c r="H109" s="115" t="s">
        <v>581</v>
      </c>
      <c r="I109" s="115"/>
      <c r="J109" s="115" t="s">
        <v>1013</v>
      </c>
      <c r="K109" s="115" t="s">
        <v>1096</v>
      </c>
      <c r="L109" s="114" t="s">
        <v>775</v>
      </c>
      <c r="M109" s="114" t="s">
        <v>164</v>
      </c>
      <c r="N109" s="114"/>
      <c r="O109" s="114" t="s">
        <v>776</v>
      </c>
      <c r="P109" s="114"/>
      <c r="Q109" s="114"/>
      <c r="R109" s="98"/>
      <c r="S109" s="98"/>
      <c r="T109" s="98"/>
      <c r="U109" s="129">
        <v>0.88962645699999998</v>
      </c>
      <c r="V109" s="129"/>
      <c r="W109" s="129"/>
      <c r="X109" s="101">
        <f t="shared" si="3"/>
        <v>0.88962645699999998</v>
      </c>
      <c r="Y109" s="222">
        <v>1605.3097809999999</v>
      </c>
      <c r="Z109" s="106" t="str">
        <f t="shared" si="5"/>
        <v>S</v>
      </c>
      <c r="AA109" s="190"/>
      <c r="AB109" s="190" t="s">
        <v>1206</v>
      </c>
      <c r="AC109" s="190" t="s">
        <v>1207</v>
      </c>
      <c r="AD109" s="190" t="s">
        <v>1208</v>
      </c>
      <c r="AE109" s="190" t="s">
        <v>1209</v>
      </c>
      <c r="AF109" s="190" t="s">
        <v>1210</v>
      </c>
      <c r="AG109" s="190" t="s">
        <v>1211</v>
      </c>
      <c r="AH109" s="174"/>
      <c r="AI109" s="174"/>
      <c r="AJ109" s="174"/>
      <c r="AK109" s="174"/>
      <c r="AL109" s="174"/>
    </row>
    <row r="110" spans="1:38" s="107" customFormat="1">
      <c r="A110" s="97">
        <v>181</v>
      </c>
      <c r="B110" s="98" t="s">
        <v>766</v>
      </c>
      <c r="C110" s="98">
        <v>2009</v>
      </c>
      <c r="D110" s="112" t="s">
        <v>767</v>
      </c>
      <c r="E110" s="113" t="s">
        <v>49</v>
      </c>
      <c r="F110" s="114" t="s">
        <v>780</v>
      </c>
      <c r="G110" s="98" t="s">
        <v>781</v>
      </c>
      <c r="H110" s="115" t="s">
        <v>95</v>
      </c>
      <c r="I110" s="115"/>
      <c r="J110" s="108" t="s">
        <v>1013</v>
      </c>
      <c r="K110" s="108" t="s">
        <v>1096</v>
      </c>
      <c r="L110" s="114" t="s">
        <v>782</v>
      </c>
      <c r="M110" s="114" t="s">
        <v>783</v>
      </c>
      <c r="N110" s="114" t="s">
        <v>784</v>
      </c>
      <c r="O110" s="114" t="s">
        <v>816</v>
      </c>
      <c r="P110" s="114"/>
      <c r="Q110" s="114"/>
      <c r="R110" s="98"/>
      <c r="S110" s="98"/>
      <c r="T110" s="98"/>
      <c r="U110" s="129">
        <v>0.89980392300000001</v>
      </c>
      <c r="V110" s="129"/>
      <c r="W110" s="129"/>
      <c r="X110" s="101">
        <f t="shared" si="3"/>
        <v>0.89980392300000001</v>
      </c>
      <c r="Y110" s="222">
        <v>1603</v>
      </c>
      <c r="Z110" s="106" t="str">
        <f t="shared" si="5"/>
        <v>S</v>
      </c>
      <c r="AA110" s="190" t="s">
        <v>1321</v>
      </c>
      <c r="AB110" s="190">
        <f>AVERAGE($Y$111:$Y$130,$Y$132,$Y$134,$Y$135,$Y$137:$Y$142)</f>
        <v>1682.8418494137934</v>
      </c>
      <c r="AC110" s="190">
        <f>MEDIAN($Y$111:$Y$130,$Y$132,$Y$134,$Y$135,$Y$137:$Y$142)</f>
        <v>1649.695015</v>
      </c>
      <c r="AD110" s="190">
        <f>MAX($Y$111:$Y$130,$Y$132,$Y$134,$Y$135,$Y$137:$Y$142)</f>
        <v>1932.8</v>
      </c>
      <c r="AE110" s="190">
        <f>MIN($Y$111:$Y$130,$Y$132,$Y$134,$Y$135,$Y$137:$Y$142)</f>
        <v>1584.390349</v>
      </c>
      <c r="AF110" s="190">
        <f>STDEV($Y$111:$Y$130,$Y$132,$Y$134,$Y$135,$Y$137:$Y$142)</f>
        <v>92.730439054786757</v>
      </c>
      <c r="AG110" s="190">
        <f>COUNT($Y$111:$Y$130,$Y$132,$Y$134,$Y$135,$Y$137:$Y$142)</f>
        <v>29</v>
      </c>
      <c r="AH110" s="174"/>
      <c r="AI110" s="174"/>
      <c r="AJ110" s="174"/>
      <c r="AK110" s="174"/>
      <c r="AL110" s="174"/>
    </row>
    <row r="111" spans="1:38" s="107" customFormat="1">
      <c r="A111" s="97">
        <v>181</v>
      </c>
      <c r="B111" s="98" t="s">
        <v>766</v>
      </c>
      <c r="C111" s="98">
        <v>2009</v>
      </c>
      <c r="D111" s="112" t="s">
        <v>767</v>
      </c>
      <c r="E111" s="113" t="s">
        <v>49</v>
      </c>
      <c r="F111" s="114" t="s">
        <v>780</v>
      </c>
      <c r="G111" s="98" t="s">
        <v>786</v>
      </c>
      <c r="H111" s="115" t="s">
        <v>159</v>
      </c>
      <c r="I111" s="115"/>
      <c r="J111" s="115" t="s">
        <v>1013</v>
      </c>
      <c r="K111" s="115" t="s">
        <v>1096</v>
      </c>
      <c r="L111" s="114" t="s">
        <v>782</v>
      </c>
      <c r="M111" s="114" t="s">
        <v>164</v>
      </c>
      <c r="N111" s="114"/>
      <c r="O111" s="114" t="s">
        <v>813</v>
      </c>
      <c r="P111" s="114"/>
      <c r="Q111" s="114"/>
      <c r="R111" s="98"/>
      <c r="S111" s="98"/>
      <c r="T111" s="98"/>
      <c r="U111" s="129">
        <v>0.90398989900000004</v>
      </c>
      <c r="V111" s="129"/>
      <c r="W111" s="129"/>
      <c r="X111" s="101">
        <f t="shared" si="3"/>
        <v>0.90398989900000004</v>
      </c>
      <c r="Y111" s="222">
        <v>1584.390349</v>
      </c>
      <c r="Z111" s="106" t="str">
        <f t="shared" si="5"/>
        <v>F</v>
      </c>
      <c r="AA111" s="190" t="s">
        <v>1322</v>
      </c>
      <c r="AB111" s="190">
        <f>AVERAGE($Y$109:$Y$110,$Y$133,$Y$136,$Y$143:$Y$147)</f>
        <v>1556.6677534444445</v>
      </c>
      <c r="AC111" s="190">
        <f>MEDIAN($Y$109:$Y$110,$Y$133,$Y$136,$Y$143:$Y$147)</f>
        <v>1566</v>
      </c>
      <c r="AD111" s="190">
        <f>MAX($Y$109:$Y$110,$Y$133,$Y$136,$Y$143:$Y$147)</f>
        <v>1605.3097809999999</v>
      </c>
      <c r="AE111" s="190">
        <f>MIN($Y$109:$Y$110,$Y$133,$Y$136,$Y$143:$Y$147)</f>
        <v>1460</v>
      </c>
      <c r="AF111" s="190">
        <f>STDEV($Y$109:$Y$110,$Y$133,$Y$136,$Y$143:$Y$147)</f>
        <v>47.983189048750262</v>
      </c>
      <c r="AG111" s="190">
        <f>COUNT($Y$109:$Y$110,$Y$133,$Y$136,$Y$143:$Y$147)</f>
        <v>9</v>
      </c>
      <c r="AH111" s="174"/>
      <c r="AI111" s="174"/>
      <c r="AJ111" s="174"/>
      <c r="AK111" s="174"/>
      <c r="AL111" s="174"/>
    </row>
    <row r="112" spans="1:38" s="107" customFormat="1">
      <c r="A112" s="97">
        <v>181</v>
      </c>
      <c r="B112" s="98" t="s">
        <v>766</v>
      </c>
      <c r="C112" s="98">
        <v>2009</v>
      </c>
      <c r="D112" s="112" t="s">
        <v>767</v>
      </c>
      <c r="E112" s="112" t="s">
        <v>49</v>
      </c>
      <c r="F112" s="119" t="s">
        <v>780</v>
      </c>
      <c r="G112" s="98" t="s">
        <v>781</v>
      </c>
      <c r="H112" s="108" t="s">
        <v>95</v>
      </c>
      <c r="I112" s="108"/>
      <c r="J112" s="108" t="s">
        <v>1013</v>
      </c>
      <c r="K112" s="108" t="s">
        <v>1096</v>
      </c>
      <c r="L112" s="119" t="s">
        <v>782</v>
      </c>
      <c r="M112" s="119" t="s">
        <v>783</v>
      </c>
      <c r="N112" s="119" t="s">
        <v>784</v>
      </c>
      <c r="O112" s="119" t="s">
        <v>785</v>
      </c>
      <c r="P112" s="119"/>
      <c r="Q112" s="119"/>
      <c r="R112" s="98"/>
      <c r="S112" s="98"/>
      <c r="T112" s="98"/>
      <c r="U112" s="130">
        <v>0.90572357999999997</v>
      </c>
      <c r="V112" s="130"/>
      <c r="W112" s="130"/>
      <c r="X112" s="101">
        <f t="shared" si="3"/>
        <v>0.90572357999999997</v>
      </c>
      <c r="Y112" s="223">
        <v>1600.905542</v>
      </c>
      <c r="Z112" s="106" t="str">
        <f t="shared" si="5"/>
        <v>F</v>
      </c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</row>
    <row r="113" spans="1:38" s="107" customFormat="1">
      <c r="A113" s="97">
        <v>181</v>
      </c>
      <c r="B113" s="98" t="s">
        <v>766</v>
      </c>
      <c r="C113" s="98">
        <v>2009</v>
      </c>
      <c r="D113" s="112" t="s">
        <v>767</v>
      </c>
      <c r="E113" s="112" t="s">
        <v>49</v>
      </c>
      <c r="F113" s="119" t="s">
        <v>780</v>
      </c>
      <c r="G113" s="98" t="s">
        <v>786</v>
      </c>
      <c r="H113" s="108" t="s">
        <v>159</v>
      </c>
      <c r="I113" s="108"/>
      <c r="J113" s="241" t="s">
        <v>1013</v>
      </c>
      <c r="K113" s="115" t="s">
        <v>1096</v>
      </c>
      <c r="L113" s="119" t="s">
        <v>782</v>
      </c>
      <c r="M113" s="119" t="s">
        <v>164</v>
      </c>
      <c r="N113" s="119"/>
      <c r="O113" s="119" t="s">
        <v>787</v>
      </c>
      <c r="P113" s="119"/>
      <c r="Q113" s="119"/>
      <c r="R113" s="98"/>
      <c r="S113" s="98"/>
      <c r="T113" s="98"/>
      <c r="U113" s="130">
        <v>0.90993638700000001</v>
      </c>
      <c r="V113" s="130"/>
      <c r="W113" s="130"/>
      <c r="X113" s="101">
        <f t="shared" si="3"/>
        <v>0.90993638700000001</v>
      </c>
      <c r="Y113" s="223">
        <v>1609.532727</v>
      </c>
      <c r="Z113" s="106" t="str">
        <f t="shared" si="5"/>
        <v>F</v>
      </c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</row>
    <row r="114" spans="1:38" s="107" customFormat="1">
      <c r="A114" s="97">
        <v>203</v>
      </c>
      <c r="B114" s="123" t="s">
        <v>940</v>
      </c>
      <c r="C114" s="98">
        <v>2011</v>
      </c>
      <c r="D114" s="123" t="s">
        <v>941</v>
      </c>
      <c r="E114" s="99" t="s">
        <v>20</v>
      </c>
      <c r="F114" s="98">
        <v>2009</v>
      </c>
      <c r="G114" s="98" t="s">
        <v>326</v>
      </c>
      <c r="H114" s="98"/>
      <c r="I114" s="98"/>
      <c r="J114" s="174" t="s">
        <v>1013</v>
      </c>
      <c r="K114" s="98" t="s">
        <v>1096</v>
      </c>
      <c r="L114" s="98" t="s">
        <v>715</v>
      </c>
      <c r="M114" s="98"/>
      <c r="N114" s="98"/>
      <c r="O114" s="98">
        <v>57</v>
      </c>
      <c r="P114" s="98"/>
      <c r="Q114" s="98"/>
      <c r="R114" s="98"/>
      <c r="S114" s="98"/>
      <c r="T114" s="98"/>
      <c r="U114" s="98">
        <v>0.91</v>
      </c>
      <c r="V114" s="98"/>
      <c r="W114" s="98"/>
      <c r="X114" s="101">
        <f t="shared" si="3"/>
        <v>0.91</v>
      </c>
      <c r="Y114" s="111">
        <v>1603</v>
      </c>
      <c r="Z114" s="106" t="str">
        <f t="shared" si="5"/>
        <v>F</v>
      </c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</row>
    <row r="115" spans="1:38" s="107" customFormat="1">
      <c r="A115" s="97">
        <v>181</v>
      </c>
      <c r="B115" s="98" t="s">
        <v>766</v>
      </c>
      <c r="C115" s="98">
        <v>2009</v>
      </c>
      <c r="D115" s="112" t="s">
        <v>767</v>
      </c>
      <c r="E115" s="113" t="s">
        <v>49</v>
      </c>
      <c r="F115" s="114" t="s">
        <v>773</v>
      </c>
      <c r="G115" s="98" t="s">
        <v>777</v>
      </c>
      <c r="H115" s="115" t="s">
        <v>581</v>
      </c>
      <c r="I115" s="115"/>
      <c r="J115" s="115" t="s">
        <v>1013</v>
      </c>
      <c r="K115" s="115" t="s">
        <v>1096</v>
      </c>
      <c r="L115" s="114" t="s">
        <v>775</v>
      </c>
      <c r="M115" s="114" t="s">
        <v>164</v>
      </c>
      <c r="N115" s="114"/>
      <c r="O115" s="114" t="s">
        <v>778</v>
      </c>
      <c r="P115" s="114"/>
      <c r="Q115" s="114"/>
      <c r="R115" s="98"/>
      <c r="S115" s="98"/>
      <c r="T115" s="98"/>
      <c r="U115" s="129">
        <v>0.91048192400000005</v>
      </c>
      <c r="V115" s="129"/>
      <c r="W115" s="129"/>
      <c r="X115" s="101">
        <f t="shared" si="3"/>
        <v>0.91048192400000005</v>
      </c>
      <c r="Y115" s="222">
        <v>1607.441636</v>
      </c>
      <c r="Z115" s="106" t="str">
        <f t="shared" si="5"/>
        <v>F</v>
      </c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</row>
    <row r="116" spans="1:38" s="107" customFormat="1">
      <c r="A116" s="97">
        <v>181</v>
      </c>
      <c r="B116" s="98" t="s">
        <v>766</v>
      </c>
      <c r="C116" s="98">
        <v>2009</v>
      </c>
      <c r="D116" s="112" t="s">
        <v>767</v>
      </c>
      <c r="E116" s="113" t="s">
        <v>49</v>
      </c>
      <c r="F116" s="114" t="s">
        <v>829</v>
      </c>
      <c r="G116" s="98" t="s">
        <v>786</v>
      </c>
      <c r="H116" s="115" t="s">
        <v>159</v>
      </c>
      <c r="I116" s="115"/>
      <c r="J116" s="115" t="s">
        <v>1013</v>
      </c>
      <c r="K116" s="115" t="s">
        <v>1096</v>
      </c>
      <c r="L116" s="114" t="s">
        <v>782</v>
      </c>
      <c r="M116" s="114" t="s">
        <v>164</v>
      </c>
      <c r="N116" s="114"/>
      <c r="O116" s="114" t="s">
        <v>830</v>
      </c>
      <c r="P116" s="114"/>
      <c r="Q116" s="114"/>
      <c r="R116" s="98"/>
      <c r="S116" s="98"/>
      <c r="T116" s="98"/>
      <c r="U116" s="129">
        <v>0.91426053399999996</v>
      </c>
      <c r="V116" s="129"/>
      <c r="W116" s="129"/>
      <c r="X116" s="101">
        <f t="shared" si="3"/>
        <v>0.91426053399999996</v>
      </c>
      <c r="Y116" s="222">
        <v>1632.3128979999999</v>
      </c>
      <c r="Z116" s="106" t="str">
        <f t="shared" si="5"/>
        <v>F</v>
      </c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</row>
    <row r="117" spans="1:38" s="107" customFormat="1">
      <c r="A117" s="97">
        <v>181</v>
      </c>
      <c r="B117" s="98" t="s">
        <v>766</v>
      </c>
      <c r="C117" s="98">
        <v>2009</v>
      </c>
      <c r="D117" s="112" t="s">
        <v>767</v>
      </c>
      <c r="E117" s="113" t="s">
        <v>49</v>
      </c>
      <c r="F117" s="114" t="s">
        <v>780</v>
      </c>
      <c r="G117" s="98" t="s">
        <v>781</v>
      </c>
      <c r="H117" s="115" t="s">
        <v>95</v>
      </c>
      <c r="I117" s="115"/>
      <c r="J117" s="108" t="s">
        <v>1013</v>
      </c>
      <c r="K117" s="108" t="s">
        <v>1096</v>
      </c>
      <c r="L117" s="114" t="s">
        <v>782</v>
      </c>
      <c r="M117" s="114" t="s">
        <v>783</v>
      </c>
      <c r="N117" s="114" t="s">
        <v>784</v>
      </c>
      <c r="O117" s="114" t="s">
        <v>803</v>
      </c>
      <c r="P117" s="114"/>
      <c r="Q117" s="114"/>
      <c r="R117" s="98"/>
      <c r="S117" s="98"/>
      <c r="T117" s="98"/>
      <c r="U117" s="129">
        <v>0.91620070099999995</v>
      </c>
      <c r="V117" s="129"/>
      <c r="W117" s="129"/>
      <c r="X117" s="101">
        <f t="shared" si="3"/>
        <v>0.91620070099999995</v>
      </c>
      <c r="Y117" s="222">
        <v>1609.4</v>
      </c>
      <c r="Z117" s="106" t="str">
        <f t="shared" si="5"/>
        <v>F</v>
      </c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</row>
    <row r="118" spans="1:38" s="107" customFormat="1">
      <c r="A118" s="97">
        <v>181</v>
      </c>
      <c r="B118" s="98" t="s">
        <v>766</v>
      </c>
      <c r="C118" s="98">
        <v>2009</v>
      </c>
      <c r="D118" s="112" t="s">
        <v>767</v>
      </c>
      <c r="E118" s="112" t="s">
        <v>49</v>
      </c>
      <c r="F118" s="119"/>
      <c r="G118" s="98" t="s">
        <v>777</v>
      </c>
      <c r="H118" s="108" t="s">
        <v>581</v>
      </c>
      <c r="I118" s="108"/>
      <c r="J118" s="115" t="s">
        <v>1013</v>
      </c>
      <c r="K118" s="115" t="s">
        <v>1096</v>
      </c>
      <c r="L118" s="119" t="s">
        <v>775</v>
      </c>
      <c r="M118" s="119" t="s">
        <v>164</v>
      </c>
      <c r="N118" s="119"/>
      <c r="O118" s="119" t="s">
        <v>779</v>
      </c>
      <c r="P118" s="119"/>
      <c r="Q118" s="119"/>
      <c r="R118" s="98"/>
      <c r="S118" s="98"/>
      <c r="T118" s="98"/>
      <c r="U118" s="130">
        <v>0.91637743400000005</v>
      </c>
      <c r="V118" s="130"/>
      <c r="W118" s="130"/>
      <c r="X118" s="101">
        <f t="shared" si="3"/>
        <v>0.91637743400000005</v>
      </c>
      <c r="Y118" s="223">
        <v>1622.2827930000001</v>
      </c>
      <c r="Z118" s="106" t="str">
        <f t="shared" si="5"/>
        <v>F</v>
      </c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</row>
    <row r="119" spans="1:38" s="107" customFormat="1">
      <c r="A119" s="97">
        <v>181</v>
      </c>
      <c r="B119" s="98" t="s">
        <v>766</v>
      </c>
      <c r="C119" s="98">
        <v>2009</v>
      </c>
      <c r="D119" s="112" t="s">
        <v>767</v>
      </c>
      <c r="E119" s="113" t="s">
        <v>49</v>
      </c>
      <c r="F119" s="114"/>
      <c r="G119" s="98" t="s">
        <v>777</v>
      </c>
      <c r="H119" s="115" t="s">
        <v>581</v>
      </c>
      <c r="I119" s="115"/>
      <c r="J119" s="115" t="s">
        <v>1013</v>
      </c>
      <c r="K119" s="115" t="s">
        <v>1096</v>
      </c>
      <c r="L119" s="114" t="s">
        <v>775</v>
      </c>
      <c r="M119" s="114" t="s">
        <v>164</v>
      </c>
      <c r="N119" s="114"/>
      <c r="O119" s="114" t="s">
        <v>779</v>
      </c>
      <c r="P119" s="114"/>
      <c r="Q119" s="114"/>
      <c r="R119" s="98"/>
      <c r="S119" s="98"/>
      <c r="T119" s="98"/>
      <c r="U119" s="129">
        <v>0.91637743400000005</v>
      </c>
      <c r="V119" s="129"/>
      <c r="W119" s="129"/>
      <c r="X119" s="101">
        <f t="shared" si="3"/>
        <v>0.91637743400000005</v>
      </c>
      <c r="Y119" s="222">
        <v>1622.2827930000001</v>
      </c>
      <c r="Z119" s="106" t="str">
        <f t="shared" si="5"/>
        <v>F</v>
      </c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</row>
    <row r="120" spans="1:38" s="107" customFormat="1">
      <c r="A120" s="97">
        <v>181</v>
      </c>
      <c r="B120" s="98" t="s">
        <v>766</v>
      </c>
      <c r="C120" s="98">
        <v>2009</v>
      </c>
      <c r="D120" s="112" t="s">
        <v>767</v>
      </c>
      <c r="E120" s="113" t="s">
        <v>49</v>
      </c>
      <c r="F120" s="114" t="s">
        <v>806</v>
      </c>
      <c r="G120" s="98" t="s">
        <v>777</v>
      </c>
      <c r="H120" s="115" t="s">
        <v>581</v>
      </c>
      <c r="I120" s="115"/>
      <c r="J120" s="115" t="s">
        <v>1013</v>
      </c>
      <c r="K120" s="115" t="s">
        <v>1096</v>
      </c>
      <c r="L120" s="114" t="s">
        <v>775</v>
      </c>
      <c r="M120" s="114" t="s">
        <v>164</v>
      </c>
      <c r="N120" s="114"/>
      <c r="O120" s="114" t="s">
        <v>828</v>
      </c>
      <c r="P120" s="114"/>
      <c r="Q120" s="114"/>
      <c r="R120" s="98"/>
      <c r="S120" s="98"/>
      <c r="T120" s="98"/>
      <c r="U120" s="129">
        <v>0.91809654699999999</v>
      </c>
      <c r="V120" s="129"/>
      <c r="W120" s="129"/>
      <c r="X120" s="101">
        <f t="shared" si="3"/>
        <v>0.91809654699999999</v>
      </c>
      <c r="Y120" s="222">
        <v>1639.931004</v>
      </c>
      <c r="Z120" s="106" t="str">
        <f t="shared" si="5"/>
        <v>F</v>
      </c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</row>
    <row r="121" spans="1:38" s="107" customFormat="1">
      <c r="A121" s="97">
        <v>181</v>
      </c>
      <c r="B121" s="98" t="s">
        <v>766</v>
      </c>
      <c r="C121" s="98">
        <v>2009</v>
      </c>
      <c r="D121" s="112" t="s">
        <v>767</v>
      </c>
      <c r="E121" s="113" t="s">
        <v>49</v>
      </c>
      <c r="F121" s="114" t="s">
        <v>780</v>
      </c>
      <c r="G121" s="98" t="s">
        <v>786</v>
      </c>
      <c r="H121" s="115" t="s">
        <v>159</v>
      </c>
      <c r="I121" s="115"/>
      <c r="J121" s="115" t="s">
        <v>1013</v>
      </c>
      <c r="K121" s="115" t="s">
        <v>1096</v>
      </c>
      <c r="L121" s="114" t="s">
        <v>782</v>
      </c>
      <c r="M121" s="114" t="s">
        <v>164</v>
      </c>
      <c r="N121" s="114"/>
      <c r="O121" s="114" t="s">
        <v>840</v>
      </c>
      <c r="P121" s="114"/>
      <c r="Q121" s="114"/>
      <c r="R121" s="98"/>
      <c r="S121" s="98"/>
      <c r="T121" s="98"/>
      <c r="U121" s="129">
        <v>0.91831407899999995</v>
      </c>
      <c r="V121" s="129"/>
      <c r="W121" s="129"/>
      <c r="X121" s="101">
        <f t="shared" si="3"/>
        <v>0.91831407899999995</v>
      </c>
      <c r="Y121" s="222">
        <v>1640.3190999999999</v>
      </c>
      <c r="Z121" s="106" t="str">
        <f t="shared" si="5"/>
        <v>F</v>
      </c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</row>
    <row r="122" spans="1:38" s="107" customFormat="1">
      <c r="A122" s="97">
        <v>181</v>
      </c>
      <c r="B122" s="98" t="s">
        <v>766</v>
      </c>
      <c r="C122" s="98">
        <v>2009</v>
      </c>
      <c r="D122" s="112" t="s">
        <v>767</v>
      </c>
      <c r="E122" s="113" t="s">
        <v>49</v>
      </c>
      <c r="F122" s="114" t="s">
        <v>806</v>
      </c>
      <c r="G122" s="98" t="s">
        <v>821</v>
      </c>
      <c r="H122" s="115" t="s">
        <v>581</v>
      </c>
      <c r="I122" s="115"/>
      <c r="J122" s="115" t="s">
        <v>1013</v>
      </c>
      <c r="K122" s="115" t="s">
        <v>1096</v>
      </c>
      <c r="L122" s="114" t="s">
        <v>775</v>
      </c>
      <c r="M122" s="114" t="s">
        <v>164</v>
      </c>
      <c r="N122" s="114"/>
      <c r="O122" s="114" t="s">
        <v>823</v>
      </c>
      <c r="P122" s="114"/>
      <c r="Q122" s="114"/>
      <c r="R122" s="98"/>
      <c r="S122" s="98"/>
      <c r="T122" s="98"/>
      <c r="U122" s="129">
        <v>0.91865929800000001</v>
      </c>
      <c r="V122" s="129"/>
      <c r="W122" s="129"/>
      <c r="X122" s="101">
        <f t="shared" si="3"/>
        <v>0.91865929800000001</v>
      </c>
      <c r="Y122" s="222">
        <v>1638.9345350000001</v>
      </c>
      <c r="Z122" s="106" t="str">
        <f t="shared" si="5"/>
        <v>F</v>
      </c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</row>
    <row r="123" spans="1:38" s="107" customFormat="1">
      <c r="A123" s="97">
        <v>174</v>
      </c>
      <c r="B123" s="98" t="s">
        <v>697</v>
      </c>
      <c r="C123" s="98">
        <v>2009</v>
      </c>
      <c r="D123" s="108" t="s">
        <v>698</v>
      </c>
      <c r="E123" s="99" t="s">
        <v>20</v>
      </c>
      <c r="F123" s="100" t="s">
        <v>701</v>
      </c>
      <c r="G123" s="98" t="s">
        <v>705</v>
      </c>
      <c r="H123" s="98" t="s">
        <v>159</v>
      </c>
      <c r="I123" s="98"/>
      <c r="J123" s="174" t="s">
        <v>1013</v>
      </c>
      <c r="K123" s="98" t="s">
        <v>1096</v>
      </c>
      <c r="L123" s="98" t="s">
        <v>715</v>
      </c>
      <c r="M123" s="109"/>
      <c r="N123" s="109"/>
      <c r="O123" s="98" t="s">
        <v>715</v>
      </c>
      <c r="P123" s="103"/>
      <c r="Q123" s="103"/>
      <c r="R123" s="98"/>
      <c r="S123" s="98"/>
      <c r="T123" s="98"/>
      <c r="U123" s="104">
        <v>0.92</v>
      </c>
      <c r="V123" s="175"/>
      <c r="W123" s="175"/>
      <c r="X123" s="101">
        <f t="shared" si="3"/>
        <v>0.92</v>
      </c>
      <c r="Y123" s="221">
        <v>1589</v>
      </c>
      <c r="Z123" s="106" t="str">
        <f t="shared" si="5"/>
        <v>F</v>
      </c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</row>
    <row r="124" spans="1:38" s="107" customFormat="1">
      <c r="A124" s="97">
        <v>181</v>
      </c>
      <c r="B124" s="98" t="s">
        <v>766</v>
      </c>
      <c r="C124" s="98">
        <v>2009</v>
      </c>
      <c r="D124" s="112" t="s">
        <v>767</v>
      </c>
      <c r="E124" s="113" t="s">
        <v>49</v>
      </c>
      <c r="F124" s="114" t="s">
        <v>820</v>
      </c>
      <c r="G124" s="98" t="s">
        <v>821</v>
      </c>
      <c r="H124" s="115" t="s">
        <v>581</v>
      </c>
      <c r="I124" s="115"/>
      <c r="J124" s="115" t="s">
        <v>1013</v>
      </c>
      <c r="K124" s="115" t="s">
        <v>1096</v>
      </c>
      <c r="L124" s="114" t="s">
        <v>775</v>
      </c>
      <c r="M124" s="114" t="s">
        <v>164</v>
      </c>
      <c r="N124" s="114"/>
      <c r="O124" s="114" t="s">
        <v>822</v>
      </c>
      <c r="P124" s="114"/>
      <c r="Q124" s="114"/>
      <c r="R124" s="98"/>
      <c r="S124" s="98"/>
      <c r="T124" s="98"/>
      <c r="U124" s="129">
        <v>0.92372757000000005</v>
      </c>
      <c r="V124" s="129"/>
      <c r="W124" s="129"/>
      <c r="X124" s="101">
        <f t="shared" si="3"/>
        <v>0.92372757000000005</v>
      </c>
      <c r="Y124" s="222">
        <v>1648.326386</v>
      </c>
      <c r="Z124" s="106" t="str">
        <f t="shared" si="5"/>
        <v>F</v>
      </c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</row>
    <row r="125" spans="1:38" s="107" customFormat="1">
      <c r="A125" s="97">
        <v>181</v>
      </c>
      <c r="B125" s="98" t="s">
        <v>766</v>
      </c>
      <c r="C125" s="98">
        <v>2009</v>
      </c>
      <c r="D125" s="112" t="s">
        <v>767</v>
      </c>
      <c r="E125" s="113" t="s">
        <v>49</v>
      </c>
      <c r="F125" s="114" t="s">
        <v>773</v>
      </c>
      <c r="G125" s="98" t="s">
        <v>832</v>
      </c>
      <c r="H125" s="115" t="s">
        <v>581</v>
      </c>
      <c r="I125" s="115"/>
      <c r="J125" s="115" t="s">
        <v>1013</v>
      </c>
      <c r="K125" s="115" t="s">
        <v>1096</v>
      </c>
      <c r="L125" s="114" t="s">
        <v>775</v>
      </c>
      <c r="M125" s="114" t="s">
        <v>164</v>
      </c>
      <c r="N125" s="114"/>
      <c r="O125" s="114" t="s">
        <v>833</v>
      </c>
      <c r="P125" s="114"/>
      <c r="Q125" s="114"/>
      <c r="R125" s="98"/>
      <c r="S125" s="98"/>
      <c r="T125" s="98"/>
      <c r="U125" s="129">
        <v>0.92401837899999995</v>
      </c>
      <c r="V125" s="129"/>
      <c r="W125" s="129"/>
      <c r="X125" s="101">
        <f t="shared" si="3"/>
        <v>0.92401837899999995</v>
      </c>
      <c r="Y125" s="222">
        <v>1657.9590490000001</v>
      </c>
      <c r="Z125" s="106" t="str">
        <f t="shared" si="5"/>
        <v>F</v>
      </c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</row>
    <row r="126" spans="1:38" s="107" customFormat="1">
      <c r="A126" s="97">
        <v>181</v>
      </c>
      <c r="B126" s="98" t="s">
        <v>766</v>
      </c>
      <c r="C126" s="98">
        <v>2009</v>
      </c>
      <c r="D126" s="112" t="s">
        <v>767</v>
      </c>
      <c r="E126" s="113" t="s">
        <v>49</v>
      </c>
      <c r="F126" s="114" t="s">
        <v>806</v>
      </c>
      <c r="G126" s="98" t="s">
        <v>777</v>
      </c>
      <c r="H126" s="115" t="s">
        <v>581</v>
      </c>
      <c r="I126" s="115"/>
      <c r="J126" s="115" t="s">
        <v>1013</v>
      </c>
      <c r="K126" s="115" t="s">
        <v>1096</v>
      </c>
      <c r="L126" s="114" t="s">
        <v>775</v>
      </c>
      <c r="M126" s="114" t="s">
        <v>164</v>
      </c>
      <c r="N126" s="114"/>
      <c r="O126" s="114" t="s">
        <v>807</v>
      </c>
      <c r="P126" s="114"/>
      <c r="Q126" s="114"/>
      <c r="R126" s="98"/>
      <c r="S126" s="98"/>
      <c r="T126" s="98"/>
      <c r="U126" s="129">
        <v>0.92572142999999996</v>
      </c>
      <c r="V126" s="129"/>
      <c r="W126" s="129"/>
      <c r="X126" s="101">
        <f t="shared" si="3"/>
        <v>0.92572142999999996</v>
      </c>
      <c r="Y126" s="222">
        <v>1649.695015</v>
      </c>
      <c r="Z126" s="106" t="str">
        <f t="shared" si="5"/>
        <v>F</v>
      </c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</row>
    <row r="127" spans="1:38" s="107" customFormat="1">
      <c r="A127" s="97">
        <v>181</v>
      </c>
      <c r="B127" s="98" t="s">
        <v>766</v>
      </c>
      <c r="C127" s="98">
        <v>2009</v>
      </c>
      <c r="D127" s="112" t="s">
        <v>767</v>
      </c>
      <c r="E127" s="113" t="s">
        <v>49</v>
      </c>
      <c r="F127" s="114" t="s">
        <v>773</v>
      </c>
      <c r="G127" s="98" t="s">
        <v>774</v>
      </c>
      <c r="H127" s="115" t="s">
        <v>581</v>
      </c>
      <c r="I127" s="115"/>
      <c r="J127" s="115" t="s">
        <v>1013</v>
      </c>
      <c r="K127" s="115" t="s">
        <v>1096</v>
      </c>
      <c r="L127" s="114" t="s">
        <v>775</v>
      </c>
      <c r="M127" s="114" t="s">
        <v>164</v>
      </c>
      <c r="N127" s="114"/>
      <c r="O127" s="114" t="s">
        <v>826</v>
      </c>
      <c r="P127" s="114"/>
      <c r="Q127" s="114"/>
      <c r="R127" s="98"/>
      <c r="S127" s="98"/>
      <c r="T127" s="98"/>
      <c r="U127" s="129">
        <v>0.93163082699999999</v>
      </c>
      <c r="V127" s="129"/>
      <c r="W127" s="129"/>
      <c r="X127" s="101">
        <f t="shared" si="3"/>
        <v>0.93163082699999999</v>
      </c>
      <c r="Y127" s="222">
        <v>1667.981295</v>
      </c>
      <c r="Z127" s="106" t="str">
        <f t="shared" si="5"/>
        <v>F</v>
      </c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</row>
    <row r="128" spans="1:38" s="107" customFormat="1">
      <c r="A128" s="97">
        <v>181</v>
      </c>
      <c r="B128" s="98" t="s">
        <v>766</v>
      </c>
      <c r="C128" s="98">
        <v>2009</v>
      </c>
      <c r="D128" s="112" t="s">
        <v>767</v>
      </c>
      <c r="E128" s="113" t="s">
        <v>49</v>
      </c>
      <c r="F128" s="114" t="s">
        <v>814</v>
      </c>
      <c r="G128" s="98" t="s">
        <v>774</v>
      </c>
      <c r="H128" s="115" t="s">
        <v>581</v>
      </c>
      <c r="I128" s="115"/>
      <c r="J128" s="115" t="s">
        <v>1013</v>
      </c>
      <c r="K128" s="115" t="s">
        <v>1096</v>
      </c>
      <c r="L128" s="114" t="s">
        <v>775</v>
      </c>
      <c r="M128" s="114" t="s">
        <v>164</v>
      </c>
      <c r="N128" s="114"/>
      <c r="O128" s="114" t="s">
        <v>815</v>
      </c>
      <c r="P128" s="114"/>
      <c r="Q128" s="114"/>
      <c r="R128" s="98"/>
      <c r="S128" s="98"/>
      <c r="T128" s="98"/>
      <c r="U128" s="129">
        <v>0.93836761499999999</v>
      </c>
      <c r="V128" s="129"/>
      <c r="W128" s="129"/>
      <c r="X128" s="101">
        <f t="shared" si="3"/>
        <v>0.93836761499999999</v>
      </c>
      <c r="Y128" s="222">
        <v>1677.6704569999999</v>
      </c>
      <c r="Z128" s="106" t="str">
        <f t="shared" si="5"/>
        <v>F</v>
      </c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</row>
    <row r="129" spans="1:38" s="107" customFormat="1">
      <c r="A129" s="97">
        <v>181</v>
      </c>
      <c r="B129" s="98" t="s">
        <v>766</v>
      </c>
      <c r="C129" s="98">
        <v>2009</v>
      </c>
      <c r="D129" s="112" t="s">
        <v>767</v>
      </c>
      <c r="E129" s="113" t="s">
        <v>49</v>
      </c>
      <c r="F129" s="114" t="s">
        <v>841</v>
      </c>
      <c r="G129" s="98" t="s">
        <v>842</v>
      </c>
      <c r="H129" s="115" t="s">
        <v>790</v>
      </c>
      <c r="I129" s="115"/>
      <c r="J129" s="108" t="s">
        <v>1013</v>
      </c>
      <c r="K129" s="108" t="s">
        <v>1096</v>
      </c>
      <c r="L129" s="114" t="s">
        <v>782</v>
      </c>
      <c r="M129" s="114" t="s">
        <v>843</v>
      </c>
      <c r="N129" s="114"/>
      <c r="O129" s="114" t="s">
        <v>844</v>
      </c>
      <c r="P129" s="114"/>
      <c r="Q129" s="114"/>
      <c r="R129" s="98"/>
      <c r="S129" s="98"/>
      <c r="T129" s="98"/>
      <c r="U129" s="114">
        <v>0.94199999999999995</v>
      </c>
      <c r="V129" s="114"/>
      <c r="W129" s="114"/>
      <c r="X129" s="101">
        <f t="shared" si="3"/>
        <v>0.94199999999999995</v>
      </c>
      <c r="Y129" s="222">
        <v>1692.932292</v>
      </c>
      <c r="Z129" s="106" t="str">
        <f t="shared" si="5"/>
        <v>F</v>
      </c>
      <c r="AJ129" s="174"/>
      <c r="AK129" s="174"/>
      <c r="AL129" s="174"/>
    </row>
    <row r="130" spans="1:38" s="107" customFormat="1">
      <c r="A130" s="97">
        <v>181</v>
      </c>
      <c r="B130" s="98" t="s">
        <v>766</v>
      </c>
      <c r="C130" s="98">
        <v>2009</v>
      </c>
      <c r="D130" s="112" t="s">
        <v>767</v>
      </c>
      <c r="E130" s="113" t="s">
        <v>49</v>
      </c>
      <c r="F130" s="98"/>
      <c r="G130" s="98" t="s">
        <v>777</v>
      </c>
      <c r="H130" s="115" t="s">
        <v>581</v>
      </c>
      <c r="I130" s="115"/>
      <c r="J130" s="115" t="s">
        <v>1013</v>
      </c>
      <c r="K130" s="115" t="s">
        <v>1096</v>
      </c>
      <c r="L130" s="114" t="s">
        <v>775</v>
      </c>
      <c r="M130" s="114" t="s">
        <v>164</v>
      </c>
      <c r="N130" s="114"/>
      <c r="O130" s="114" t="s">
        <v>868</v>
      </c>
      <c r="P130" s="114"/>
      <c r="Q130" s="114"/>
      <c r="R130" s="98"/>
      <c r="S130" s="98"/>
      <c r="T130" s="98"/>
      <c r="U130" s="129">
        <v>0.94840097300000004</v>
      </c>
      <c r="V130" s="129"/>
      <c r="W130" s="129"/>
      <c r="X130" s="101">
        <f t="shared" ref="X130:X193" si="6">IF(R130&lt;&gt;0,IF(R130&gt;1,R130/100,R130),IF(U130&lt;&gt;0,IF(U130&gt;1,U130/100,U130),""))</f>
        <v>0.94840097300000004</v>
      </c>
      <c r="Y130" s="222">
        <v>1716.515762</v>
      </c>
      <c r="Z130" s="106" t="str">
        <f t="shared" ref="Z130:Z150" si="7">IF(X130&lt;&gt;"",IF(X130&lt;0.9,"S","F"),"")</f>
        <v>F</v>
      </c>
      <c r="AJ130" s="174"/>
      <c r="AK130" s="174"/>
      <c r="AL130" s="174"/>
    </row>
    <row r="131" spans="1:38" s="107" customFormat="1">
      <c r="A131" s="97">
        <v>103</v>
      </c>
      <c r="B131" s="103" t="s">
        <v>311</v>
      </c>
      <c r="C131" s="103">
        <v>1994</v>
      </c>
      <c r="D131" s="103" t="s">
        <v>312</v>
      </c>
      <c r="E131" s="99" t="s">
        <v>20</v>
      </c>
      <c r="F131" s="98">
        <v>1995</v>
      </c>
      <c r="G131" s="98"/>
      <c r="H131" s="98"/>
      <c r="I131" s="98"/>
      <c r="J131" s="98" t="s">
        <v>1013</v>
      </c>
      <c r="K131" s="98" t="s">
        <v>1096</v>
      </c>
      <c r="L131" s="98" t="s">
        <v>315</v>
      </c>
      <c r="M131" s="98" t="s">
        <v>316</v>
      </c>
      <c r="N131" s="98"/>
      <c r="O131" s="98" t="s">
        <v>317</v>
      </c>
      <c r="P131" s="98"/>
      <c r="Q131" s="98"/>
      <c r="R131" s="98"/>
      <c r="S131" s="98"/>
      <c r="T131" s="98"/>
      <c r="U131" s="98"/>
      <c r="V131" s="98"/>
      <c r="W131" s="98"/>
      <c r="X131" s="101" t="str">
        <f t="shared" si="6"/>
        <v/>
      </c>
      <c r="Y131" s="111">
        <v>870</v>
      </c>
      <c r="Z131" s="106" t="str">
        <f t="shared" si="7"/>
        <v/>
      </c>
      <c r="AJ131" s="174"/>
      <c r="AK131" s="174"/>
      <c r="AL131" s="174"/>
    </row>
    <row r="132" spans="1:38" s="107" customFormat="1">
      <c r="A132" s="97">
        <v>197</v>
      </c>
      <c r="B132" s="123" t="s">
        <v>875</v>
      </c>
      <c r="C132" s="98">
        <v>2007</v>
      </c>
      <c r="D132" s="123" t="s">
        <v>928</v>
      </c>
      <c r="E132" s="99" t="s">
        <v>20</v>
      </c>
      <c r="F132" s="98">
        <v>2003</v>
      </c>
      <c r="G132" s="98" t="s">
        <v>326</v>
      </c>
      <c r="H132" s="98" t="s">
        <v>159</v>
      </c>
      <c r="I132" s="98"/>
      <c r="J132" s="174" t="s">
        <v>1013</v>
      </c>
      <c r="K132" s="98" t="s">
        <v>1111</v>
      </c>
      <c r="L132" s="98" t="s">
        <v>315</v>
      </c>
      <c r="M132" s="98"/>
      <c r="N132" s="98"/>
      <c r="O132" s="98" t="s">
        <v>930</v>
      </c>
      <c r="P132" s="98">
        <v>0.98</v>
      </c>
      <c r="Q132" s="98"/>
      <c r="R132" s="98">
        <f>+P132</f>
        <v>0.98</v>
      </c>
      <c r="S132" s="98">
        <v>0.99</v>
      </c>
      <c r="T132" s="98"/>
      <c r="U132" s="98">
        <f>+S132</f>
        <v>0.99</v>
      </c>
      <c r="V132" s="98">
        <v>1763.1</v>
      </c>
      <c r="W132" s="98"/>
      <c r="X132" s="101">
        <f t="shared" si="6"/>
        <v>0.98</v>
      </c>
      <c r="Y132" s="111">
        <f>+V132</f>
        <v>1763.1</v>
      </c>
      <c r="Z132" s="106" t="str">
        <f t="shared" si="7"/>
        <v>F</v>
      </c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</row>
    <row r="133" spans="1:38" s="107" customFormat="1">
      <c r="A133" s="97">
        <v>197</v>
      </c>
      <c r="B133" s="123" t="s">
        <v>875</v>
      </c>
      <c r="C133" s="98">
        <v>2007</v>
      </c>
      <c r="D133" s="123" t="s">
        <v>928</v>
      </c>
      <c r="E133" s="99" t="s">
        <v>20</v>
      </c>
      <c r="F133" s="98">
        <v>2003</v>
      </c>
      <c r="G133" s="98" t="s">
        <v>326</v>
      </c>
      <c r="H133" s="98" t="s">
        <v>159</v>
      </c>
      <c r="I133" s="98"/>
      <c r="J133" s="174" t="s">
        <v>1013</v>
      </c>
      <c r="K133" s="98" t="s">
        <v>1111</v>
      </c>
      <c r="L133" s="98" t="s">
        <v>315</v>
      </c>
      <c r="M133" s="98"/>
      <c r="N133" s="98"/>
      <c r="O133" s="98" t="s">
        <v>930</v>
      </c>
      <c r="P133" s="98"/>
      <c r="Q133" s="98">
        <v>0.88</v>
      </c>
      <c r="R133" s="98">
        <f>+Q133</f>
        <v>0.88</v>
      </c>
      <c r="S133" s="98"/>
      <c r="T133" s="98">
        <v>0.89</v>
      </c>
      <c r="U133" s="98">
        <f>+T133</f>
        <v>0.89</v>
      </c>
      <c r="V133" s="98"/>
      <c r="W133" s="98">
        <v>1573.8</v>
      </c>
      <c r="X133" s="101">
        <f t="shared" si="6"/>
        <v>0.88</v>
      </c>
      <c r="Y133" s="111">
        <f>+W133</f>
        <v>1573.8</v>
      </c>
      <c r="Z133" s="106" t="str">
        <f t="shared" si="7"/>
        <v>S</v>
      </c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</row>
    <row r="134" spans="1:38" s="107" customFormat="1">
      <c r="A134" s="97">
        <v>197</v>
      </c>
      <c r="B134" s="123" t="s">
        <v>875</v>
      </c>
      <c r="C134" s="98">
        <v>2007</v>
      </c>
      <c r="D134" s="123" t="s">
        <v>928</v>
      </c>
      <c r="E134" s="99" t="s">
        <v>20</v>
      </c>
      <c r="F134" s="98">
        <v>2003</v>
      </c>
      <c r="G134" s="98" t="s">
        <v>326</v>
      </c>
      <c r="H134" s="98" t="s">
        <v>159</v>
      </c>
      <c r="I134" s="98"/>
      <c r="J134" s="174" t="s">
        <v>1013</v>
      </c>
      <c r="K134" s="98" t="s">
        <v>1069</v>
      </c>
      <c r="L134" s="98" t="s">
        <v>403</v>
      </c>
      <c r="M134" s="98"/>
      <c r="N134" s="98"/>
      <c r="O134" s="98" t="s">
        <v>931</v>
      </c>
      <c r="P134" s="98">
        <v>0.97</v>
      </c>
      <c r="Q134" s="98"/>
      <c r="R134" s="98">
        <f>+P134</f>
        <v>0.97</v>
      </c>
      <c r="S134" s="98">
        <v>0.98</v>
      </c>
      <c r="T134" s="98"/>
      <c r="U134" s="98">
        <f>+S134</f>
        <v>0.98</v>
      </c>
      <c r="V134" s="98">
        <v>1781.9</v>
      </c>
      <c r="W134" s="98"/>
      <c r="X134" s="101">
        <f t="shared" si="6"/>
        <v>0.97</v>
      </c>
      <c r="Y134" s="111">
        <f>+V134</f>
        <v>1781.9</v>
      </c>
      <c r="Z134" s="106" t="str">
        <f t="shared" si="7"/>
        <v>F</v>
      </c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</row>
    <row r="135" spans="1:38" s="107" customFormat="1">
      <c r="A135" s="97">
        <v>172</v>
      </c>
      <c r="B135" s="98" t="s">
        <v>585</v>
      </c>
      <c r="C135" s="98">
        <v>2010</v>
      </c>
      <c r="D135" s="98" t="s">
        <v>586</v>
      </c>
      <c r="E135" s="99" t="s">
        <v>589</v>
      </c>
      <c r="F135" s="100">
        <v>40235</v>
      </c>
      <c r="G135" s="98" t="s">
        <v>631</v>
      </c>
      <c r="H135" s="98" t="s">
        <v>159</v>
      </c>
      <c r="I135" s="98"/>
      <c r="J135" s="101" t="s">
        <v>1013</v>
      </c>
      <c r="K135" s="98" t="s">
        <v>1069</v>
      </c>
      <c r="L135" s="98" t="s">
        <v>634</v>
      </c>
      <c r="M135" s="109" t="s">
        <v>635</v>
      </c>
      <c r="N135" s="109"/>
      <c r="O135" s="98"/>
      <c r="P135" s="103"/>
      <c r="Q135" s="103"/>
      <c r="R135" s="98"/>
      <c r="S135" s="98"/>
      <c r="T135" s="98"/>
      <c r="U135" s="104">
        <v>0.95899999999999996</v>
      </c>
      <c r="V135" s="175"/>
      <c r="W135" s="175"/>
      <c r="X135" s="101">
        <f t="shared" si="6"/>
        <v>0.95899999999999996</v>
      </c>
      <c r="Y135" s="221">
        <v>1856</v>
      </c>
      <c r="Z135" s="106" t="str">
        <f t="shared" si="7"/>
        <v>F</v>
      </c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</row>
    <row r="136" spans="1:38" s="107" customFormat="1">
      <c r="A136" s="97">
        <v>197</v>
      </c>
      <c r="B136" s="123" t="s">
        <v>875</v>
      </c>
      <c r="C136" s="98">
        <v>2007</v>
      </c>
      <c r="D136" s="123" t="s">
        <v>928</v>
      </c>
      <c r="E136" s="99" t="s">
        <v>20</v>
      </c>
      <c r="F136" s="98">
        <v>2003</v>
      </c>
      <c r="G136" s="98" t="s">
        <v>326</v>
      </c>
      <c r="H136" s="98" t="s">
        <v>159</v>
      </c>
      <c r="I136" s="98"/>
      <c r="J136" s="174" t="s">
        <v>1013</v>
      </c>
      <c r="K136" s="98" t="s">
        <v>1069</v>
      </c>
      <c r="L136" s="98" t="s">
        <v>403</v>
      </c>
      <c r="M136" s="98"/>
      <c r="N136" s="98"/>
      <c r="O136" s="98" t="s">
        <v>931</v>
      </c>
      <c r="P136" s="98"/>
      <c r="Q136" s="98">
        <v>0.87</v>
      </c>
      <c r="R136" s="98">
        <f>+Q136</f>
        <v>0.87</v>
      </c>
      <c r="S136" s="98"/>
      <c r="T136" s="98">
        <v>0.88</v>
      </c>
      <c r="U136" s="98">
        <f>+T136</f>
        <v>0.88</v>
      </c>
      <c r="V136" s="98"/>
      <c r="W136" s="98">
        <v>1596.9</v>
      </c>
      <c r="X136" s="101">
        <f t="shared" si="6"/>
        <v>0.87</v>
      </c>
      <c r="Y136" s="111">
        <f>+W136</f>
        <v>1596.9</v>
      </c>
      <c r="Z136" s="106" t="str">
        <f t="shared" si="7"/>
        <v>S</v>
      </c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</row>
    <row r="137" spans="1:38" s="107" customFormat="1">
      <c r="A137" s="97">
        <v>118</v>
      </c>
      <c r="B137" s="123" t="s">
        <v>399</v>
      </c>
      <c r="C137" s="98">
        <v>1999</v>
      </c>
      <c r="D137" s="123" t="s">
        <v>400</v>
      </c>
      <c r="E137" s="99" t="s">
        <v>20</v>
      </c>
      <c r="F137" s="98">
        <v>1999</v>
      </c>
      <c r="G137" s="98" t="s">
        <v>326</v>
      </c>
      <c r="H137" s="98" t="s">
        <v>159</v>
      </c>
      <c r="I137" s="98"/>
      <c r="J137" s="101" t="s">
        <v>1013</v>
      </c>
      <c r="K137" s="98" t="s">
        <v>1056</v>
      </c>
      <c r="L137" s="98" t="s">
        <v>406</v>
      </c>
      <c r="M137" s="98"/>
      <c r="N137" s="98"/>
      <c r="O137" s="98">
        <v>4</v>
      </c>
      <c r="P137" s="98"/>
      <c r="Q137" s="98"/>
      <c r="R137" s="98"/>
      <c r="S137" s="98"/>
      <c r="T137" s="98"/>
      <c r="U137" s="98">
        <v>0.98</v>
      </c>
      <c r="V137" s="98"/>
      <c r="W137" s="98"/>
      <c r="X137" s="101">
        <f t="shared" si="6"/>
        <v>0.98</v>
      </c>
      <c r="Y137" s="111">
        <v>1932.8</v>
      </c>
      <c r="Z137" s="106" t="str">
        <f t="shared" si="7"/>
        <v>F</v>
      </c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</row>
    <row r="138" spans="1:38" s="107" customFormat="1">
      <c r="A138" s="97">
        <v>118</v>
      </c>
      <c r="B138" s="123" t="s">
        <v>399</v>
      </c>
      <c r="C138" s="98">
        <v>1999</v>
      </c>
      <c r="D138" s="123" t="s">
        <v>400</v>
      </c>
      <c r="E138" s="99" t="s">
        <v>20</v>
      </c>
      <c r="F138" s="98">
        <v>1999</v>
      </c>
      <c r="G138" s="98" t="s">
        <v>326</v>
      </c>
      <c r="H138" s="98" t="s">
        <v>159</v>
      </c>
      <c r="I138" s="98"/>
      <c r="J138" s="101" t="s">
        <v>1013</v>
      </c>
      <c r="K138" s="98" t="s">
        <v>1056</v>
      </c>
      <c r="L138" s="98" t="s">
        <v>403</v>
      </c>
      <c r="M138" s="98"/>
      <c r="N138" s="98"/>
      <c r="O138" s="98">
        <v>1</v>
      </c>
      <c r="P138" s="98"/>
      <c r="Q138" s="98"/>
      <c r="R138" s="98"/>
      <c r="S138" s="98"/>
      <c r="T138" s="98"/>
      <c r="U138" s="98">
        <v>0.97</v>
      </c>
      <c r="V138" s="98"/>
      <c r="W138" s="98"/>
      <c r="X138" s="101">
        <f t="shared" si="6"/>
        <v>0.97</v>
      </c>
      <c r="Y138" s="111">
        <v>1918.8</v>
      </c>
      <c r="Z138" s="106" t="str">
        <f t="shared" si="7"/>
        <v>F</v>
      </c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</row>
    <row r="139" spans="1:38" s="107" customFormat="1">
      <c r="A139" s="97"/>
      <c r="B139" s="258" t="s">
        <v>1276</v>
      </c>
      <c r="C139" s="259">
        <v>1989</v>
      </c>
      <c r="D139" s="101"/>
      <c r="E139" s="103" t="s">
        <v>49</v>
      </c>
      <c r="F139" s="98"/>
      <c r="G139" s="98"/>
      <c r="H139" s="98"/>
      <c r="I139" s="98"/>
      <c r="J139" s="292" t="s">
        <v>1013</v>
      </c>
      <c r="K139" s="292" t="s">
        <v>1256</v>
      </c>
      <c r="L139" s="98"/>
      <c r="M139" s="98"/>
      <c r="N139" s="98"/>
      <c r="O139" s="107" t="s">
        <v>1268</v>
      </c>
      <c r="P139" s="98"/>
      <c r="Q139" s="98"/>
      <c r="R139" s="107">
        <v>0.95099999999999996</v>
      </c>
      <c r="S139" s="98"/>
      <c r="T139" s="98"/>
      <c r="U139" s="98"/>
      <c r="V139" s="98"/>
      <c r="W139" s="98"/>
      <c r="X139" s="101">
        <f t="shared" si="6"/>
        <v>0.95099999999999996</v>
      </c>
      <c r="Y139" s="107">
        <v>1745</v>
      </c>
      <c r="Z139" s="106" t="str">
        <f t="shared" si="7"/>
        <v>F</v>
      </c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</row>
    <row r="140" spans="1:38" s="107" customFormat="1">
      <c r="A140" s="97"/>
      <c r="B140" s="258" t="s">
        <v>1276</v>
      </c>
      <c r="C140" s="259">
        <v>1989</v>
      </c>
      <c r="D140" s="101"/>
      <c r="E140" s="103" t="s">
        <v>49</v>
      </c>
      <c r="F140" s="98"/>
      <c r="G140" s="98"/>
      <c r="H140" s="98"/>
      <c r="I140" s="98"/>
      <c r="J140" s="292" t="s">
        <v>1013</v>
      </c>
      <c r="K140" s="292" t="s">
        <v>1256</v>
      </c>
      <c r="L140" s="98"/>
      <c r="M140" s="98"/>
      <c r="N140" s="98"/>
      <c r="O140" s="107" t="s">
        <v>1269</v>
      </c>
      <c r="P140" s="98"/>
      <c r="Q140" s="98"/>
      <c r="R140" s="107">
        <v>0.94699999999999995</v>
      </c>
      <c r="S140" s="98"/>
      <c r="T140" s="98"/>
      <c r="U140" s="98"/>
      <c r="V140" s="98"/>
      <c r="W140" s="98"/>
      <c r="X140" s="101">
        <f t="shared" si="6"/>
        <v>0.94699999999999995</v>
      </c>
      <c r="Y140" s="107">
        <v>1739</v>
      </c>
      <c r="Z140" s="106" t="str">
        <f t="shared" si="7"/>
        <v>F</v>
      </c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</row>
    <row r="141" spans="1:38" s="107" customFormat="1">
      <c r="A141" s="97"/>
      <c r="B141" s="258" t="s">
        <v>1276</v>
      </c>
      <c r="C141" s="259">
        <v>1989</v>
      </c>
      <c r="D141" s="101"/>
      <c r="E141" s="103" t="s">
        <v>49</v>
      </c>
      <c r="F141" s="98"/>
      <c r="G141" s="98"/>
      <c r="H141" s="98"/>
      <c r="I141" s="98"/>
      <c r="J141" s="292" t="s">
        <v>1013</v>
      </c>
      <c r="K141" s="292" t="s">
        <v>1256</v>
      </c>
      <c r="L141" s="98"/>
      <c r="M141" s="98"/>
      <c r="N141" s="98"/>
      <c r="O141" s="107" t="s">
        <v>1267</v>
      </c>
      <c r="P141" s="98"/>
      <c r="Q141" s="98"/>
      <c r="R141" s="107">
        <v>0.92800000000000005</v>
      </c>
      <c r="S141" s="98"/>
      <c r="T141" s="98"/>
      <c r="U141" s="98"/>
      <c r="V141" s="98"/>
      <c r="W141" s="98"/>
      <c r="X141" s="101">
        <f t="shared" si="6"/>
        <v>0.92800000000000005</v>
      </c>
      <c r="Y141" s="107">
        <v>1704</v>
      </c>
      <c r="Z141" s="106" t="str">
        <f t="shared" si="7"/>
        <v>F</v>
      </c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</row>
    <row r="142" spans="1:38" s="107" customFormat="1">
      <c r="A142" s="97"/>
      <c r="B142" s="258" t="s">
        <v>1276</v>
      </c>
      <c r="C142" s="259">
        <v>1989</v>
      </c>
      <c r="D142" s="101"/>
      <c r="E142" s="103" t="s">
        <v>49</v>
      </c>
      <c r="F142" s="98"/>
      <c r="G142" s="98"/>
      <c r="H142" s="98"/>
      <c r="I142" s="98"/>
      <c r="J142" s="292" t="s">
        <v>1013</v>
      </c>
      <c r="K142" s="292" t="s">
        <v>1256</v>
      </c>
      <c r="L142" s="98"/>
      <c r="M142" s="98"/>
      <c r="N142" s="98"/>
      <c r="O142" s="107" t="s">
        <v>1274</v>
      </c>
      <c r="P142" s="98"/>
      <c r="Q142" s="98"/>
      <c r="R142" s="107">
        <v>0.9</v>
      </c>
      <c r="S142" s="98"/>
      <c r="T142" s="98"/>
      <c r="U142" s="98"/>
      <c r="V142" s="98"/>
      <c r="W142" s="98"/>
      <c r="X142" s="101">
        <f t="shared" si="6"/>
        <v>0.9</v>
      </c>
      <c r="Y142" s="107">
        <v>1651</v>
      </c>
      <c r="Z142" s="106" t="str">
        <f t="shared" si="7"/>
        <v>F</v>
      </c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</row>
    <row r="143" spans="1:38" s="107" customFormat="1">
      <c r="A143" s="97"/>
      <c r="B143" s="258" t="s">
        <v>1276</v>
      </c>
      <c r="C143" s="259">
        <v>1989</v>
      </c>
      <c r="D143" s="101"/>
      <c r="E143" s="103" t="s">
        <v>49</v>
      </c>
      <c r="F143" s="98"/>
      <c r="G143" s="98"/>
      <c r="H143" s="98"/>
      <c r="I143" s="98"/>
      <c r="J143" s="292" t="s">
        <v>1013</v>
      </c>
      <c r="K143" s="292" t="s">
        <v>1256</v>
      </c>
      <c r="L143" s="98"/>
      <c r="M143" s="98"/>
      <c r="N143" s="98"/>
      <c r="O143" s="107" t="s">
        <v>1271</v>
      </c>
      <c r="P143" s="98"/>
      <c r="Q143" s="98"/>
      <c r="R143" s="107">
        <v>0.85399999999999998</v>
      </c>
      <c r="S143" s="98"/>
      <c r="T143" s="98"/>
      <c r="U143" s="98"/>
      <c r="V143" s="98"/>
      <c r="W143" s="98"/>
      <c r="X143" s="101">
        <f t="shared" si="6"/>
        <v>0.85399999999999998</v>
      </c>
      <c r="Y143" s="107">
        <v>1566</v>
      </c>
      <c r="Z143" s="106" t="str">
        <f t="shared" si="7"/>
        <v>S</v>
      </c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</row>
    <row r="144" spans="1:38" s="107" customFormat="1">
      <c r="A144" s="97"/>
      <c r="B144" s="258" t="s">
        <v>1276</v>
      </c>
      <c r="C144" s="259">
        <v>1989</v>
      </c>
      <c r="D144" s="101"/>
      <c r="E144" s="103" t="s">
        <v>49</v>
      </c>
      <c r="F144" s="98"/>
      <c r="G144" s="98"/>
      <c r="H144" s="98"/>
      <c r="I144" s="98"/>
      <c r="J144" s="292" t="s">
        <v>1013</v>
      </c>
      <c r="K144" s="292" t="s">
        <v>1256</v>
      </c>
      <c r="L144" s="98"/>
      <c r="M144" s="98"/>
      <c r="N144" s="98"/>
      <c r="O144" s="107" t="s">
        <v>1275</v>
      </c>
      <c r="P144" s="98"/>
      <c r="Q144" s="98"/>
      <c r="R144" s="107">
        <v>0.84699999999999998</v>
      </c>
      <c r="S144" s="98"/>
      <c r="T144" s="98"/>
      <c r="U144" s="98"/>
      <c r="V144" s="98"/>
      <c r="W144" s="98"/>
      <c r="X144" s="101">
        <f t="shared" si="6"/>
        <v>0.84699999999999998</v>
      </c>
      <c r="Y144" s="107">
        <v>1554</v>
      </c>
      <c r="Z144" s="106" t="str">
        <f t="shared" si="7"/>
        <v>S</v>
      </c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</row>
    <row r="145" spans="1:38" s="107" customFormat="1">
      <c r="A145" s="97"/>
      <c r="B145" s="258" t="s">
        <v>1276</v>
      </c>
      <c r="C145" s="259">
        <v>1989</v>
      </c>
      <c r="D145" s="101"/>
      <c r="E145" s="103" t="s">
        <v>49</v>
      </c>
      <c r="F145" s="98"/>
      <c r="G145" s="98"/>
      <c r="H145" s="98"/>
      <c r="I145" s="98"/>
      <c r="J145" s="292" t="s">
        <v>1013</v>
      </c>
      <c r="K145" s="292" t="s">
        <v>1256</v>
      </c>
      <c r="L145" s="98"/>
      <c r="M145" s="98"/>
      <c r="N145" s="98"/>
      <c r="O145" s="107" t="s">
        <v>1273</v>
      </c>
      <c r="P145" s="98"/>
      <c r="Q145" s="98"/>
      <c r="R145" s="107">
        <v>0.84099999999999997</v>
      </c>
      <c r="S145" s="98"/>
      <c r="T145" s="98"/>
      <c r="U145" s="98"/>
      <c r="V145" s="98"/>
      <c r="W145" s="98"/>
      <c r="X145" s="101">
        <f t="shared" si="6"/>
        <v>0.84099999999999997</v>
      </c>
      <c r="Y145" s="107">
        <v>1543</v>
      </c>
      <c r="Z145" s="106" t="str">
        <f t="shared" si="7"/>
        <v>S</v>
      </c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</row>
    <row r="146" spans="1:38" s="107" customFormat="1">
      <c r="A146" s="97"/>
      <c r="B146" s="258" t="s">
        <v>1276</v>
      </c>
      <c r="C146" s="259">
        <v>1989</v>
      </c>
      <c r="D146" s="101"/>
      <c r="E146" s="103" t="s">
        <v>49</v>
      </c>
      <c r="F146" s="98"/>
      <c r="G146" s="98"/>
      <c r="H146" s="98"/>
      <c r="I146" s="98"/>
      <c r="J146" s="292" t="s">
        <v>1013</v>
      </c>
      <c r="K146" s="292" t="s">
        <v>1256</v>
      </c>
      <c r="L146" s="98"/>
      <c r="M146" s="98"/>
      <c r="N146" s="98"/>
      <c r="O146" s="107" t="s">
        <v>1272</v>
      </c>
      <c r="P146" s="98"/>
      <c r="Q146" s="98"/>
      <c r="R146" s="107">
        <v>0.82199999999999995</v>
      </c>
      <c r="S146" s="98"/>
      <c r="T146" s="98"/>
      <c r="U146" s="98"/>
      <c r="V146" s="98"/>
      <c r="W146" s="98"/>
      <c r="X146" s="101">
        <f t="shared" si="6"/>
        <v>0.82199999999999995</v>
      </c>
      <c r="Y146" s="107">
        <v>1508</v>
      </c>
      <c r="Z146" s="106" t="str">
        <f t="shared" si="7"/>
        <v>S</v>
      </c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</row>
    <row r="147" spans="1:38" s="107" customFormat="1">
      <c r="A147" s="97"/>
      <c r="B147" s="258" t="s">
        <v>1276</v>
      </c>
      <c r="C147" s="259">
        <v>1989</v>
      </c>
      <c r="D147" s="101"/>
      <c r="E147" s="103" t="s">
        <v>49</v>
      </c>
      <c r="F147" s="98"/>
      <c r="G147" s="98"/>
      <c r="H147" s="98"/>
      <c r="I147" s="98"/>
      <c r="J147" s="292" t="s">
        <v>1013</v>
      </c>
      <c r="K147" s="292" t="s">
        <v>1256</v>
      </c>
      <c r="L147" s="98"/>
      <c r="M147" s="98"/>
      <c r="N147" s="98"/>
      <c r="O147" s="107" t="s">
        <v>1270</v>
      </c>
      <c r="P147" s="98"/>
      <c r="Q147" s="98"/>
      <c r="R147" s="107">
        <v>0.79600000000000004</v>
      </c>
      <c r="S147" s="98"/>
      <c r="T147" s="98"/>
      <c r="U147" s="98"/>
      <c r="V147" s="98"/>
      <c r="W147" s="98"/>
      <c r="X147" s="101">
        <f t="shared" si="6"/>
        <v>0.79600000000000004</v>
      </c>
      <c r="Y147" s="107">
        <v>1460</v>
      </c>
      <c r="Z147" s="106" t="str">
        <f t="shared" si="7"/>
        <v>S</v>
      </c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</row>
    <row r="148" spans="1:38" s="45" customFormat="1">
      <c r="A148" s="53">
        <v>4</v>
      </c>
      <c r="B148" s="60" t="s">
        <v>16</v>
      </c>
      <c r="C148" s="60">
        <v>1969</v>
      </c>
      <c r="D148" s="60" t="s">
        <v>17</v>
      </c>
      <c r="E148" s="56" t="s">
        <v>20</v>
      </c>
      <c r="F148" s="54">
        <v>1968</v>
      </c>
      <c r="G148" s="54" t="s">
        <v>21</v>
      </c>
      <c r="H148" s="54" t="s">
        <v>23</v>
      </c>
      <c r="I148" s="54"/>
      <c r="J148" s="298" t="s">
        <v>1013</v>
      </c>
      <c r="K148" s="298" t="s">
        <v>1169</v>
      </c>
      <c r="L148" s="54" t="s">
        <v>29</v>
      </c>
      <c r="M148" s="54"/>
      <c r="N148" s="54"/>
      <c r="O148" s="54" t="s">
        <v>31</v>
      </c>
      <c r="P148" s="54"/>
      <c r="Q148" s="54"/>
      <c r="R148" s="54"/>
      <c r="S148" s="54"/>
      <c r="T148" s="54"/>
      <c r="U148" s="54"/>
      <c r="V148" s="54"/>
      <c r="W148" s="54"/>
      <c r="X148" s="66" t="str">
        <f t="shared" si="6"/>
        <v/>
      </c>
      <c r="Y148" s="72">
        <v>1395</v>
      </c>
      <c r="Z148" s="192" t="str">
        <f t="shared" si="7"/>
        <v/>
      </c>
      <c r="AA148" s="198"/>
      <c r="AB148" s="198" t="s">
        <v>1206</v>
      </c>
      <c r="AC148" s="198" t="s">
        <v>1207</v>
      </c>
      <c r="AD148" s="198" t="s">
        <v>1208</v>
      </c>
      <c r="AE148" s="198" t="s">
        <v>1209</v>
      </c>
      <c r="AF148" s="198" t="s">
        <v>1210</v>
      </c>
      <c r="AG148" s="198" t="s">
        <v>1211</v>
      </c>
      <c r="AH148" s="172"/>
      <c r="AI148" s="172"/>
      <c r="AJ148" s="172"/>
      <c r="AK148" s="172"/>
      <c r="AL148" s="172"/>
    </row>
    <row r="149" spans="1:38" s="45" customFormat="1">
      <c r="A149" s="53">
        <v>4</v>
      </c>
      <c r="B149" s="60" t="s">
        <v>16</v>
      </c>
      <c r="C149" s="60">
        <v>1969</v>
      </c>
      <c r="D149" s="60" t="s">
        <v>17</v>
      </c>
      <c r="E149" s="56" t="s">
        <v>20</v>
      </c>
      <c r="F149" s="54">
        <v>1968</v>
      </c>
      <c r="G149" s="54" t="s">
        <v>21</v>
      </c>
      <c r="H149" s="54" t="s">
        <v>23</v>
      </c>
      <c r="I149" s="54"/>
      <c r="J149" s="298" t="s">
        <v>1013</v>
      </c>
      <c r="K149" s="298" t="s">
        <v>1169</v>
      </c>
      <c r="L149" s="54" t="s">
        <v>29</v>
      </c>
      <c r="M149" s="54"/>
      <c r="N149" s="54"/>
      <c r="O149" s="54" t="s">
        <v>30</v>
      </c>
      <c r="P149" s="54"/>
      <c r="Q149" s="54"/>
      <c r="R149" s="54"/>
      <c r="S149" s="54"/>
      <c r="T149" s="54"/>
      <c r="U149" s="54"/>
      <c r="V149" s="54"/>
      <c r="W149" s="54"/>
      <c r="X149" s="66" t="str">
        <f t="shared" si="6"/>
        <v/>
      </c>
      <c r="Y149" s="72">
        <v>1554</v>
      </c>
      <c r="Z149" s="192" t="str">
        <f t="shared" si="7"/>
        <v/>
      </c>
      <c r="AA149" s="198" t="s">
        <v>1324</v>
      </c>
      <c r="AB149" s="198">
        <f>AVERAGE($Y$148:$Y$150)</f>
        <v>1495.1111111111111</v>
      </c>
      <c r="AC149" s="198">
        <f>MEDIAN($Y$148:$Y$150)</f>
        <v>1536.3333333333333</v>
      </c>
      <c r="AD149" s="198">
        <f>MAX($Y$148:$Y$150)</f>
        <v>1554</v>
      </c>
      <c r="AE149" s="198">
        <f>MIN($Y$148:$Y$150)</f>
        <v>1395</v>
      </c>
      <c r="AF149" s="198">
        <f>STDEV($Y$148:$Y$150)</f>
        <v>87.147597234253681</v>
      </c>
      <c r="AG149" s="198">
        <f>COUNT($Y$148:$Y$150)</f>
        <v>3</v>
      </c>
      <c r="AH149" s="172"/>
      <c r="AI149" s="172"/>
      <c r="AJ149" s="172"/>
      <c r="AK149" s="172"/>
      <c r="AL149" s="172"/>
    </row>
    <row r="150" spans="1:38" s="45" customFormat="1">
      <c r="A150" s="172"/>
      <c r="B150" s="67" t="s">
        <v>968</v>
      </c>
      <c r="C150" s="171">
        <v>1996</v>
      </c>
      <c r="D150" s="172"/>
      <c r="E150" s="296" t="s">
        <v>172</v>
      </c>
      <c r="F150" s="172"/>
      <c r="G150" s="172"/>
      <c r="H150" s="67" t="s">
        <v>23</v>
      </c>
      <c r="I150" s="67"/>
      <c r="J150" s="66" t="s">
        <v>1013</v>
      </c>
      <c r="K150" s="67" t="s">
        <v>1006</v>
      </c>
      <c r="L150" s="67" t="s">
        <v>1006</v>
      </c>
      <c r="M150" s="67" t="s">
        <v>1007</v>
      </c>
      <c r="N150" s="67"/>
      <c r="O150" s="67" t="s">
        <v>1008</v>
      </c>
      <c r="P150" s="172"/>
      <c r="Q150" s="172"/>
      <c r="R150" s="172"/>
      <c r="S150" s="172"/>
      <c r="T150" s="172"/>
      <c r="U150" s="172"/>
      <c r="V150" s="172">
        <f>838*44/12/2</f>
        <v>1536.3333333333333</v>
      </c>
      <c r="W150" s="172"/>
      <c r="X150" s="66" t="str">
        <f t="shared" si="6"/>
        <v/>
      </c>
      <c r="Y150" s="297">
        <f>838*44/12/2</f>
        <v>1536.3333333333333</v>
      </c>
      <c r="Z150" s="192" t="str">
        <f t="shared" si="7"/>
        <v/>
      </c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</row>
    <row r="151" spans="1:38" s="107" customFormat="1">
      <c r="A151" s="97">
        <v>35</v>
      </c>
      <c r="B151" s="103" t="s">
        <v>45</v>
      </c>
      <c r="C151" s="103">
        <v>1982</v>
      </c>
      <c r="D151" s="103" t="s">
        <v>46</v>
      </c>
      <c r="E151" s="99" t="s">
        <v>49</v>
      </c>
      <c r="F151" s="98" t="s">
        <v>50</v>
      </c>
      <c r="G151" s="98" t="s">
        <v>51</v>
      </c>
      <c r="H151" s="98" t="s">
        <v>23</v>
      </c>
      <c r="I151" s="98"/>
      <c r="J151" s="98" t="s">
        <v>1013</v>
      </c>
      <c r="K151" s="98" t="s">
        <v>1134</v>
      </c>
      <c r="L151" s="98" t="s">
        <v>52</v>
      </c>
      <c r="M151" s="98"/>
      <c r="N151" s="98"/>
      <c r="O151" s="98" t="s">
        <v>56</v>
      </c>
      <c r="P151" s="98"/>
      <c r="Q151" s="98"/>
      <c r="R151" s="98"/>
      <c r="S151" s="98"/>
      <c r="T151" s="98"/>
      <c r="U151" s="98"/>
      <c r="V151" s="98"/>
      <c r="W151" s="98"/>
      <c r="X151" s="101" t="str">
        <f t="shared" si="6"/>
        <v/>
      </c>
      <c r="Y151" s="111">
        <v>667</v>
      </c>
      <c r="Z151" s="106" t="s">
        <v>1192</v>
      </c>
      <c r="AA151" s="190"/>
      <c r="AB151" s="190" t="s">
        <v>1206</v>
      </c>
      <c r="AC151" s="190" t="s">
        <v>1207</v>
      </c>
      <c r="AD151" s="190" t="s">
        <v>1208</v>
      </c>
      <c r="AE151" s="190" t="s">
        <v>1209</v>
      </c>
      <c r="AF151" s="190" t="s">
        <v>1210</v>
      </c>
      <c r="AG151" s="190" t="s">
        <v>1211</v>
      </c>
      <c r="AH151" s="174"/>
      <c r="AI151" s="174"/>
      <c r="AJ151" s="174"/>
      <c r="AK151" s="174"/>
      <c r="AL151" s="174"/>
    </row>
    <row r="152" spans="1:38" s="107" customFormat="1">
      <c r="A152" s="97">
        <v>35</v>
      </c>
      <c r="B152" s="103" t="s">
        <v>45</v>
      </c>
      <c r="C152" s="103">
        <v>1982</v>
      </c>
      <c r="D152" s="103" t="s">
        <v>46</v>
      </c>
      <c r="E152" s="99" t="s">
        <v>49</v>
      </c>
      <c r="F152" s="98" t="s">
        <v>50</v>
      </c>
      <c r="G152" s="98" t="s">
        <v>51</v>
      </c>
      <c r="H152" s="98" t="s">
        <v>23</v>
      </c>
      <c r="I152" s="98"/>
      <c r="J152" s="98" t="s">
        <v>1013</v>
      </c>
      <c r="K152" s="98" t="s">
        <v>1134</v>
      </c>
      <c r="L152" s="98" t="s">
        <v>52</v>
      </c>
      <c r="M152" s="98"/>
      <c r="N152" s="98"/>
      <c r="O152" s="98" t="s">
        <v>53</v>
      </c>
      <c r="P152" s="98"/>
      <c r="Q152" s="98"/>
      <c r="R152" s="98"/>
      <c r="S152" s="98"/>
      <c r="T152" s="98"/>
      <c r="U152" s="98"/>
      <c r="V152" s="98"/>
      <c r="W152" s="98"/>
      <c r="X152" s="101" t="str">
        <f t="shared" si="6"/>
        <v/>
      </c>
      <c r="Y152" s="111">
        <v>1629</v>
      </c>
      <c r="Z152" s="106" t="s">
        <v>1192</v>
      </c>
      <c r="AA152" s="190" t="s">
        <v>1325</v>
      </c>
      <c r="AB152" s="190">
        <f>AVERAGE($Y$151:$Y$160)</f>
        <v>1579.2</v>
      </c>
      <c r="AC152" s="190">
        <f>MEDIAN($Y$151:$Y$160)</f>
        <v>1664</v>
      </c>
      <c r="AD152" s="190">
        <f>MAX($Y$151:$Y$160)</f>
        <v>1760</v>
      </c>
      <c r="AE152" s="190">
        <f>MIN($Y$151:$Y$160)</f>
        <v>667</v>
      </c>
      <c r="AF152" s="190">
        <f>STDEV($Y$151:$Y$160)</f>
        <v>322.99494320087041</v>
      </c>
      <c r="AG152" s="190">
        <f>COUNT($Y$151:$Y$160)</f>
        <v>10</v>
      </c>
      <c r="AH152" s="174"/>
      <c r="AI152" s="174"/>
      <c r="AJ152" s="174"/>
      <c r="AK152" s="174"/>
      <c r="AL152" s="174"/>
    </row>
    <row r="153" spans="1:38" s="107" customFormat="1">
      <c r="A153" s="97">
        <v>35</v>
      </c>
      <c r="B153" s="103" t="s">
        <v>45</v>
      </c>
      <c r="C153" s="103">
        <v>1982</v>
      </c>
      <c r="D153" s="103" t="s">
        <v>46</v>
      </c>
      <c r="E153" s="99" t="s">
        <v>49</v>
      </c>
      <c r="F153" s="98" t="s">
        <v>50</v>
      </c>
      <c r="G153" s="98" t="s">
        <v>51</v>
      </c>
      <c r="H153" s="98" t="s">
        <v>23</v>
      </c>
      <c r="I153" s="98"/>
      <c r="J153" s="98" t="s">
        <v>1013</v>
      </c>
      <c r="K153" s="98" t="s">
        <v>1134</v>
      </c>
      <c r="L153" s="98" t="s">
        <v>52</v>
      </c>
      <c r="M153" s="98"/>
      <c r="N153" s="98"/>
      <c r="O153" s="98" t="s">
        <v>57</v>
      </c>
      <c r="P153" s="98"/>
      <c r="Q153" s="98"/>
      <c r="R153" s="98"/>
      <c r="S153" s="98"/>
      <c r="T153" s="98"/>
      <c r="U153" s="98"/>
      <c r="V153" s="98"/>
      <c r="W153" s="98"/>
      <c r="X153" s="101" t="str">
        <f t="shared" si="6"/>
        <v/>
      </c>
      <c r="Y153" s="111">
        <v>1646</v>
      </c>
      <c r="Z153" s="106" t="s">
        <v>1192</v>
      </c>
      <c r="AA153" s="190" t="s">
        <v>1326</v>
      </c>
      <c r="AB153" s="190">
        <f>AVERAGE($Y$161:$Y$180)</f>
        <v>1478.35</v>
      </c>
      <c r="AC153" s="190">
        <f>MEDIAN($Y$161:$Y$180)</f>
        <v>1463</v>
      </c>
      <c r="AD153" s="190">
        <f>MAX($Y$161:$Y$180)</f>
        <v>1635</v>
      </c>
      <c r="AE153" s="190">
        <f>MIN($Y$161:$Y$180)</f>
        <v>1329</v>
      </c>
      <c r="AF153" s="190">
        <f>STDEV($Y$161:$Y$180)</f>
        <v>87.401839677133623</v>
      </c>
      <c r="AG153" s="190">
        <f>COUNT($Y$161:$Y$180)</f>
        <v>20</v>
      </c>
      <c r="AH153" s="174" t="s">
        <v>1315</v>
      </c>
      <c r="AI153" s="174"/>
      <c r="AJ153" s="174"/>
      <c r="AK153" s="174"/>
      <c r="AL153" s="174"/>
    </row>
    <row r="154" spans="1:38" s="107" customFormat="1">
      <c r="A154" s="97">
        <v>35</v>
      </c>
      <c r="B154" s="103" t="s">
        <v>45</v>
      </c>
      <c r="C154" s="103">
        <v>1982</v>
      </c>
      <c r="D154" s="103" t="s">
        <v>46</v>
      </c>
      <c r="E154" s="99" t="s">
        <v>49</v>
      </c>
      <c r="F154" s="98" t="s">
        <v>50</v>
      </c>
      <c r="G154" s="98" t="s">
        <v>51</v>
      </c>
      <c r="H154" s="98" t="s">
        <v>23</v>
      </c>
      <c r="I154" s="98"/>
      <c r="J154" s="98" t="s">
        <v>1013</v>
      </c>
      <c r="K154" s="98" t="s">
        <v>1134</v>
      </c>
      <c r="L154" s="98" t="s">
        <v>52</v>
      </c>
      <c r="M154" s="98"/>
      <c r="N154" s="98"/>
      <c r="O154" s="98" t="s">
        <v>54</v>
      </c>
      <c r="P154" s="98"/>
      <c r="Q154" s="98"/>
      <c r="R154" s="98"/>
      <c r="S154" s="98"/>
      <c r="T154" s="98"/>
      <c r="U154" s="98"/>
      <c r="V154" s="98"/>
      <c r="W154" s="98"/>
      <c r="X154" s="101" t="str">
        <f t="shared" si="6"/>
        <v/>
      </c>
      <c r="Y154" s="111">
        <v>1695</v>
      </c>
      <c r="Z154" s="106" t="s">
        <v>1192</v>
      </c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</row>
    <row r="155" spans="1:38" s="107" customFormat="1">
      <c r="A155" s="97">
        <v>35</v>
      </c>
      <c r="B155" s="103" t="s">
        <v>45</v>
      </c>
      <c r="C155" s="103">
        <v>1982</v>
      </c>
      <c r="D155" s="103" t="s">
        <v>46</v>
      </c>
      <c r="E155" s="99" t="s">
        <v>49</v>
      </c>
      <c r="F155" s="98" t="s">
        <v>50</v>
      </c>
      <c r="G155" s="98" t="s">
        <v>51</v>
      </c>
      <c r="H155" s="98" t="s">
        <v>23</v>
      </c>
      <c r="I155" s="98"/>
      <c r="J155" s="98" t="s">
        <v>1013</v>
      </c>
      <c r="K155" s="98" t="s">
        <v>1134</v>
      </c>
      <c r="L155" s="98" t="s">
        <v>52</v>
      </c>
      <c r="M155" s="98"/>
      <c r="N155" s="98"/>
      <c r="O155" s="98" t="s">
        <v>55</v>
      </c>
      <c r="P155" s="98"/>
      <c r="Q155" s="98"/>
      <c r="R155" s="98"/>
      <c r="S155" s="98"/>
      <c r="T155" s="98"/>
      <c r="U155" s="98"/>
      <c r="V155" s="98"/>
      <c r="W155" s="98"/>
      <c r="X155" s="101" t="str">
        <f t="shared" si="6"/>
        <v/>
      </c>
      <c r="Y155" s="111">
        <v>1703</v>
      </c>
      <c r="Z155" s="106" t="s">
        <v>1192</v>
      </c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</row>
    <row r="156" spans="1:38" s="107" customFormat="1">
      <c r="A156" s="97">
        <v>37</v>
      </c>
      <c r="B156" s="103" t="s">
        <v>45</v>
      </c>
      <c r="C156" s="103">
        <v>1982</v>
      </c>
      <c r="D156" s="103" t="s">
        <v>92</v>
      </c>
      <c r="E156" s="99" t="s">
        <v>49</v>
      </c>
      <c r="F156" s="98">
        <v>1989</v>
      </c>
      <c r="G156" s="98" t="s">
        <v>94</v>
      </c>
      <c r="H156" s="98" t="s">
        <v>95</v>
      </c>
      <c r="I156" s="98"/>
      <c r="J156" s="98" t="s">
        <v>1013</v>
      </c>
      <c r="K156" s="98" t="s">
        <v>1134</v>
      </c>
      <c r="L156" s="98" t="s">
        <v>96</v>
      </c>
      <c r="M156" s="98"/>
      <c r="N156" s="98"/>
      <c r="O156" s="98" t="s">
        <v>102</v>
      </c>
      <c r="P156" s="98"/>
      <c r="Q156" s="98"/>
      <c r="R156" s="98"/>
      <c r="S156" s="98"/>
      <c r="T156" s="98"/>
      <c r="U156" s="98"/>
      <c r="V156" s="98">
        <v>1760</v>
      </c>
      <c r="W156" s="98"/>
      <c r="X156" s="101" t="str">
        <f t="shared" si="6"/>
        <v/>
      </c>
      <c r="Y156" s="111">
        <f>+V156</f>
        <v>1760</v>
      </c>
      <c r="Z156" s="106" t="s">
        <v>1192</v>
      </c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</row>
    <row r="157" spans="1:38" s="107" customFormat="1">
      <c r="A157" s="97">
        <v>46</v>
      </c>
      <c r="B157" s="103" t="s">
        <v>45</v>
      </c>
      <c r="C157" s="103">
        <v>1984</v>
      </c>
      <c r="D157" s="103" t="s">
        <v>113</v>
      </c>
      <c r="E157" s="99" t="s">
        <v>49</v>
      </c>
      <c r="F157" s="98">
        <v>1983</v>
      </c>
      <c r="G157" s="98" t="s">
        <v>116</v>
      </c>
      <c r="H157" s="98" t="s">
        <v>95</v>
      </c>
      <c r="I157" s="98"/>
      <c r="J157" s="98" t="s">
        <v>1013</v>
      </c>
      <c r="K157" s="98" t="s">
        <v>1134</v>
      </c>
      <c r="L157" s="98" t="s">
        <v>117</v>
      </c>
      <c r="M157" s="98"/>
      <c r="N157" s="98"/>
      <c r="O157" s="98" t="s">
        <v>134</v>
      </c>
      <c r="P157" s="98"/>
      <c r="Q157" s="98"/>
      <c r="R157" s="98">
        <v>0.94</v>
      </c>
      <c r="S157" s="98"/>
      <c r="T157" s="98"/>
      <c r="U157" s="98"/>
      <c r="V157" s="98"/>
      <c r="W157" s="98"/>
      <c r="X157" s="101">
        <f t="shared" si="6"/>
        <v>0.94</v>
      </c>
      <c r="Y157" s="111">
        <v>1720</v>
      </c>
      <c r="Z157" s="106" t="str">
        <f>IF(X157&lt;&gt;"",IF(X157&lt;0.9,"S","F"),"")</f>
        <v>F</v>
      </c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</row>
    <row r="158" spans="1:38" s="107" customFormat="1">
      <c r="A158" s="97">
        <v>35</v>
      </c>
      <c r="B158" s="103" t="s">
        <v>45</v>
      </c>
      <c r="C158" s="103">
        <v>1982</v>
      </c>
      <c r="D158" s="103" t="s">
        <v>46</v>
      </c>
      <c r="E158" s="99" t="s">
        <v>49</v>
      </c>
      <c r="F158" s="98" t="s">
        <v>50</v>
      </c>
      <c r="G158" s="98" t="s">
        <v>51</v>
      </c>
      <c r="H158" s="98" t="s">
        <v>23</v>
      </c>
      <c r="I158" s="98"/>
      <c r="J158" s="98" t="s">
        <v>1013</v>
      </c>
      <c r="K158" s="98" t="s">
        <v>1134</v>
      </c>
      <c r="L158" s="98" t="s">
        <v>52</v>
      </c>
      <c r="M158" s="98"/>
      <c r="N158" s="98"/>
      <c r="O158" s="98" t="s">
        <v>69</v>
      </c>
      <c r="P158" s="98">
        <v>0.91</v>
      </c>
      <c r="Q158" s="98"/>
      <c r="R158" s="98">
        <f>+P158</f>
        <v>0.91</v>
      </c>
      <c r="S158" s="98"/>
      <c r="T158" s="98"/>
      <c r="U158" s="98"/>
      <c r="V158" s="98">
        <v>1669</v>
      </c>
      <c r="W158" s="98"/>
      <c r="X158" s="101">
        <f t="shared" si="6"/>
        <v>0.91</v>
      </c>
      <c r="Y158" s="111">
        <f>+V158</f>
        <v>1669</v>
      </c>
      <c r="Z158" s="106" t="str">
        <f>IF(X158&lt;&gt;"",IF(X158&lt;0.9,"S","F"),"")</f>
        <v>F</v>
      </c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</row>
    <row r="159" spans="1:38" s="107" customFormat="1">
      <c r="A159" s="97">
        <v>35</v>
      </c>
      <c r="B159" s="103" t="s">
        <v>45</v>
      </c>
      <c r="C159" s="103">
        <v>1982</v>
      </c>
      <c r="D159" s="103" t="s">
        <v>46</v>
      </c>
      <c r="E159" s="99" t="s">
        <v>49</v>
      </c>
      <c r="F159" s="98" t="s">
        <v>50</v>
      </c>
      <c r="G159" s="98" t="s">
        <v>51</v>
      </c>
      <c r="H159" s="98" t="s">
        <v>23</v>
      </c>
      <c r="I159" s="98"/>
      <c r="J159" s="98" t="s">
        <v>1013</v>
      </c>
      <c r="K159" s="98" t="s">
        <v>1134</v>
      </c>
      <c r="L159" s="98" t="s">
        <v>52</v>
      </c>
      <c r="M159" s="98"/>
      <c r="N159" s="98"/>
      <c r="O159" s="98" t="s">
        <v>67</v>
      </c>
      <c r="P159" s="98">
        <v>0.9</v>
      </c>
      <c r="Q159" s="98"/>
      <c r="R159" s="98">
        <f>+P159</f>
        <v>0.9</v>
      </c>
      <c r="S159" s="98"/>
      <c r="T159" s="98"/>
      <c r="U159" s="98"/>
      <c r="V159" s="98">
        <v>1644</v>
      </c>
      <c r="W159" s="98"/>
      <c r="X159" s="101">
        <f t="shared" si="6"/>
        <v>0.9</v>
      </c>
      <c r="Y159" s="111">
        <f>+V159</f>
        <v>1644</v>
      </c>
      <c r="Z159" s="106" t="str">
        <f>IF(X159&lt;&gt;"",IF(X159&lt;0.9,"S","F"),"")</f>
        <v>F</v>
      </c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</row>
    <row r="160" spans="1:38" s="107" customFormat="1">
      <c r="A160" s="97">
        <v>46</v>
      </c>
      <c r="B160" s="103" t="s">
        <v>45</v>
      </c>
      <c r="C160" s="103">
        <v>1984</v>
      </c>
      <c r="D160" s="103" t="s">
        <v>113</v>
      </c>
      <c r="E160" s="99" t="s">
        <v>49</v>
      </c>
      <c r="F160" s="98">
        <v>1983</v>
      </c>
      <c r="G160" s="98" t="s">
        <v>116</v>
      </c>
      <c r="H160" s="98" t="s">
        <v>95</v>
      </c>
      <c r="I160" s="98"/>
      <c r="J160" s="98" t="s">
        <v>1013</v>
      </c>
      <c r="K160" s="98" t="s">
        <v>1134</v>
      </c>
      <c r="L160" s="98" t="s">
        <v>117</v>
      </c>
      <c r="M160" s="98"/>
      <c r="N160" s="98"/>
      <c r="O160" s="98" t="s">
        <v>131</v>
      </c>
      <c r="P160" s="98"/>
      <c r="Q160" s="98"/>
      <c r="R160" s="98">
        <v>0.9</v>
      </c>
      <c r="S160" s="98"/>
      <c r="T160" s="98"/>
      <c r="U160" s="98"/>
      <c r="V160" s="98"/>
      <c r="W160" s="98"/>
      <c r="X160" s="101">
        <f t="shared" si="6"/>
        <v>0.9</v>
      </c>
      <c r="Y160" s="111">
        <v>1659</v>
      </c>
      <c r="Z160" s="106" t="str">
        <f>IF(X160&lt;&gt;"",IF(X160&lt;0.9,"S","F"),"")</f>
        <v>F</v>
      </c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</row>
    <row r="161" spans="1:38" s="107" customFormat="1">
      <c r="A161" s="97">
        <v>37</v>
      </c>
      <c r="B161" s="103" t="s">
        <v>45</v>
      </c>
      <c r="C161" s="103">
        <v>1982</v>
      </c>
      <c r="D161" s="103" t="s">
        <v>92</v>
      </c>
      <c r="E161" s="99" t="s">
        <v>49</v>
      </c>
      <c r="F161" s="98">
        <v>1989</v>
      </c>
      <c r="G161" s="98" t="s">
        <v>94</v>
      </c>
      <c r="H161" s="98" t="s">
        <v>95</v>
      </c>
      <c r="I161" s="98"/>
      <c r="J161" s="98" t="s">
        <v>1013</v>
      </c>
      <c r="K161" s="98" t="s">
        <v>1134</v>
      </c>
      <c r="L161" s="98" t="s">
        <v>96</v>
      </c>
      <c r="M161" s="98"/>
      <c r="N161" s="98"/>
      <c r="O161" s="98" t="s">
        <v>101</v>
      </c>
      <c r="P161" s="98"/>
      <c r="Q161" s="98"/>
      <c r="R161" s="98"/>
      <c r="S161" s="98"/>
      <c r="T161" s="98"/>
      <c r="U161" s="98"/>
      <c r="V161" s="98"/>
      <c r="W161" s="98">
        <v>1329</v>
      </c>
      <c r="X161" s="101" t="str">
        <f t="shared" si="6"/>
        <v/>
      </c>
      <c r="Y161" s="111">
        <f>+W161</f>
        <v>1329</v>
      </c>
      <c r="Z161" s="106" t="s">
        <v>1193</v>
      </c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</row>
    <row r="162" spans="1:38" s="107" customFormat="1">
      <c r="A162" s="97">
        <v>35</v>
      </c>
      <c r="B162" s="103" t="s">
        <v>45</v>
      </c>
      <c r="C162" s="103">
        <v>1982</v>
      </c>
      <c r="D162" s="103" t="s">
        <v>46</v>
      </c>
      <c r="E162" s="99" t="s">
        <v>49</v>
      </c>
      <c r="F162" s="98" t="s">
        <v>50</v>
      </c>
      <c r="G162" s="98" t="s">
        <v>51</v>
      </c>
      <c r="H162" s="98" t="s">
        <v>23</v>
      </c>
      <c r="I162" s="98"/>
      <c r="J162" s="98" t="s">
        <v>1013</v>
      </c>
      <c r="K162" s="98" t="s">
        <v>1134</v>
      </c>
      <c r="L162" s="98" t="s">
        <v>52</v>
      </c>
      <c r="M162" s="98"/>
      <c r="N162" s="98"/>
      <c r="O162" s="98" t="s">
        <v>66</v>
      </c>
      <c r="P162" s="98"/>
      <c r="Q162" s="98"/>
      <c r="R162" s="98"/>
      <c r="S162" s="98"/>
      <c r="T162" s="98"/>
      <c r="U162" s="98"/>
      <c r="V162" s="98"/>
      <c r="W162" s="98"/>
      <c r="X162" s="101" t="str">
        <f t="shared" si="6"/>
        <v/>
      </c>
      <c r="Y162" s="111">
        <v>1371</v>
      </c>
      <c r="Z162" s="106" t="s">
        <v>1193</v>
      </c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</row>
    <row r="163" spans="1:38" s="107" customFormat="1">
      <c r="A163" s="97">
        <v>35</v>
      </c>
      <c r="B163" s="103" t="s">
        <v>45</v>
      </c>
      <c r="C163" s="103">
        <v>1982</v>
      </c>
      <c r="D163" s="103" t="s">
        <v>46</v>
      </c>
      <c r="E163" s="99" t="s">
        <v>49</v>
      </c>
      <c r="F163" s="98" t="s">
        <v>50</v>
      </c>
      <c r="G163" s="98" t="s">
        <v>51</v>
      </c>
      <c r="H163" s="98" t="s">
        <v>23</v>
      </c>
      <c r="I163" s="98"/>
      <c r="J163" s="98" t="s">
        <v>1013</v>
      </c>
      <c r="K163" s="98" t="s">
        <v>1134</v>
      </c>
      <c r="L163" s="98" t="s">
        <v>52</v>
      </c>
      <c r="M163" s="98"/>
      <c r="N163" s="98"/>
      <c r="O163" s="98" t="s">
        <v>64</v>
      </c>
      <c r="P163" s="98"/>
      <c r="Q163" s="98"/>
      <c r="R163" s="98"/>
      <c r="S163" s="98"/>
      <c r="T163" s="98"/>
      <c r="U163" s="98"/>
      <c r="V163" s="98"/>
      <c r="W163" s="98"/>
      <c r="X163" s="101" t="str">
        <f t="shared" si="6"/>
        <v/>
      </c>
      <c r="Y163" s="111">
        <v>1394</v>
      </c>
      <c r="Z163" s="106" t="s">
        <v>1193</v>
      </c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</row>
    <row r="164" spans="1:38" s="107" customFormat="1">
      <c r="A164" s="97">
        <v>35</v>
      </c>
      <c r="B164" s="103" t="s">
        <v>45</v>
      </c>
      <c r="C164" s="103">
        <v>1982</v>
      </c>
      <c r="D164" s="103" t="s">
        <v>46</v>
      </c>
      <c r="E164" s="99" t="s">
        <v>49</v>
      </c>
      <c r="F164" s="98" t="s">
        <v>50</v>
      </c>
      <c r="G164" s="98" t="s">
        <v>51</v>
      </c>
      <c r="H164" s="98" t="s">
        <v>23</v>
      </c>
      <c r="I164" s="98"/>
      <c r="J164" s="98" t="s">
        <v>1013</v>
      </c>
      <c r="K164" s="98" t="s">
        <v>1134</v>
      </c>
      <c r="L164" s="98" t="s">
        <v>52</v>
      </c>
      <c r="M164" s="98"/>
      <c r="N164" s="98"/>
      <c r="O164" s="98" t="s">
        <v>61</v>
      </c>
      <c r="P164" s="98"/>
      <c r="Q164" s="98"/>
      <c r="R164" s="98"/>
      <c r="S164" s="98"/>
      <c r="T164" s="98"/>
      <c r="U164" s="98"/>
      <c r="V164" s="98"/>
      <c r="W164" s="98"/>
      <c r="X164" s="101" t="str">
        <f t="shared" si="6"/>
        <v/>
      </c>
      <c r="Y164" s="111">
        <v>1401</v>
      </c>
      <c r="Z164" s="106" t="s">
        <v>1193</v>
      </c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</row>
    <row r="165" spans="1:38" s="107" customFormat="1">
      <c r="A165" s="97">
        <v>35</v>
      </c>
      <c r="B165" s="103" t="s">
        <v>45</v>
      </c>
      <c r="C165" s="103">
        <v>1982</v>
      </c>
      <c r="D165" s="103" t="s">
        <v>46</v>
      </c>
      <c r="E165" s="99" t="s">
        <v>49</v>
      </c>
      <c r="F165" s="98" t="s">
        <v>50</v>
      </c>
      <c r="G165" s="98" t="s">
        <v>51</v>
      </c>
      <c r="H165" s="98" t="s">
        <v>23</v>
      </c>
      <c r="I165" s="98"/>
      <c r="J165" s="98" t="s">
        <v>1013</v>
      </c>
      <c r="K165" s="98" t="s">
        <v>1134</v>
      </c>
      <c r="L165" s="98" t="s">
        <v>52</v>
      </c>
      <c r="M165" s="98"/>
      <c r="N165" s="98"/>
      <c r="O165" s="98" t="s">
        <v>58</v>
      </c>
      <c r="P165" s="98"/>
      <c r="Q165" s="98"/>
      <c r="R165" s="98"/>
      <c r="S165" s="98"/>
      <c r="T165" s="98"/>
      <c r="U165" s="98"/>
      <c r="V165" s="98"/>
      <c r="W165" s="98"/>
      <c r="X165" s="101" t="str">
        <f t="shared" si="6"/>
        <v/>
      </c>
      <c r="Y165" s="111">
        <v>1409</v>
      </c>
      <c r="Z165" s="106" t="s">
        <v>1193</v>
      </c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</row>
    <row r="166" spans="1:38" s="107" customFormat="1">
      <c r="A166" s="97">
        <v>35</v>
      </c>
      <c r="B166" s="103" t="s">
        <v>45</v>
      </c>
      <c r="C166" s="103">
        <v>1982</v>
      </c>
      <c r="D166" s="103" t="s">
        <v>46</v>
      </c>
      <c r="E166" s="99" t="s">
        <v>49</v>
      </c>
      <c r="F166" s="98" t="s">
        <v>50</v>
      </c>
      <c r="G166" s="98" t="s">
        <v>51</v>
      </c>
      <c r="H166" s="98" t="s">
        <v>23</v>
      </c>
      <c r="I166" s="98"/>
      <c r="J166" s="98" t="s">
        <v>1013</v>
      </c>
      <c r="K166" s="98" t="s">
        <v>1134</v>
      </c>
      <c r="L166" s="98" t="s">
        <v>52</v>
      </c>
      <c r="M166" s="98"/>
      <c r="N166" s="98"/>
      <c r="O166" s="98" t="s">
        <v>65</v>
      </c>
      <c r="P166" s="98"/>
      <c r="Q166" s="98"/>
      <c r="R166" s="98"/>
      <c r="S166" s="98"/>
      <c r="T166" s="98"/>
      <c r="U166" s="98"/>
      <c r="V166" s="98"/>
      <c r="W166" s="98"/>
      <c r="X166" s="101" t="str">
        <f t="shared" si="6"/>
        <v/>
      </c>
      <c r="Y166" s="111">
        <v>1413</v>
      </c>
      <c r="Z166" s="106" t="s">
        <v>1193</v>
      </c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</row>
    <row r="167" spans="1:38" s="107" customFormat="1">
      <c r="A167" s="97">
        <v>35</v>
      </c>
      <c r="B167" s="103" t="s">
        <v>45</v>
      </c>
      <c r="C167" s="103">
        <v>1982</v>
      </c>
      <c r="D167" s="103" t="s">
        <v>46</v>
      </c>
      <c r="E167" s="99" t="s">
        <v>49</v>
      </c>
      <c r="F167" s="98" t="s">
        <v>50</v>
      </c>
      <c r="G167" s="98" t="s">
        <v>51</v>
      </c>
      <c r="H167" s="98" t="s">
        <v>23</v>
      </c>
      <c r="I167" s="98"/>
      <c r="J167" s="98" t="s">
        <v>1013</v>
      </c>
      <c r="K167" s="98" t="s">
        <v>1134</v>
      </c>
      <c r="L167" s="98" t="s">
        <v>52</v>
      </c>
      <c r="M167" s="98"/>
      <c r="N167" s="98"/>
      <c r="O167" s="98" t="s">
        <v>60</v>
      </c>
      <c r="P167" s="98"/>
      <c r="Q167" s="98"/>
      <c r="R167" s="98"/>
      <c r="S167" s="98"/>
      <c r="T167" s="98"/>
      <c r="U167" s="98"/>
      <c r="V167" s="98"/>
      <c r="W167" s="98"/>
      <c r="X167" s="101" t="str">
        <f t="shared" si="6"/>
        <v/>
      </c>
      <c r="Y167" s="111">
        <v>1425</v>
      </c>
      <c r="Z167" s="106" t="s">
        <v>1193</v>
      </c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</row>
    <row r="168" spans="1:38" s="107" customFormat="1">
      <c r="A168" s="97">
        <v>35</v>
      </c>
      <c r="B168" s="103" t="s">
        <v>45</v>
      </c>
      <c r="C168" s="103">
        <v>1982</v>
      </c>
      <c r="D168" s="103" t="s">
        <v>46</v>
      </c>
      <c r="E168" s="99" t="s">
        <v>49</v>
      </c>
      <c r="F168" s="98" t="s">
        <v>50</v>
      </c>
      <c r="G168" s="98" t="s">
        <v>51</v>
      </c>
      <c r="H168" s="98" t="s">
        <v>23</v>
      </c>
      <c r="I168" s="98"/>
      <c r="J168" s="98" t="s">
        <v>1013</v>
      </c>
      <c r="K168" s="98" t="s">
        <v>1134</v>
      </c>
      <c r="L168" s="98" t="s">
        <v>52</v>
      </c>
      <c r="M168" s="98"/>
      <c r="N168" s="98"/>
      <c r="O168" s="98" t="s">
        <v>59</v>
      </c>
      <c r="P168" s="98"/>
      <c r="Q168" s="98"/>
      <c r="R168" s="98"/>
      <c r="S168" s="98"/>
      <c r="T168" s="98"/>
      <c r="U168" s="98"/>
      <c r="V168" s="98"/>
      <c r="W168" s="98"/>
      <c r="X168" s="101" t="str">
        <f t="shared" si="6"/>
        <v/>
      </c>
      <c r="Y168" s="111">
        <v>1439</v>
      </c>
      <c r="Z168" s="106" t="s">
        <v>1193</v>
      </c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</row>
    <row r="169" spans="1:38" s="107" customFormat="1">
      <c r="A169" s="97">
        <v>35</v>
      </c>
      <c r="B169" s="103" t="s">
        <v>45</v>
      </c>
      <c r="C169" s="103">
        <v>1982</v>
      </c>
      <c r="D169" s="103" t="s">
        <v>46</v>
      </c>
      <c r="E169" s="99" t="s">
        <v>49</v>
      </c>
      <c r="F169" s="98" t="s">
        <v>50</v>
      </c>
      <c r="G169" s="98" t="s">
        <v>51</v>
      </c>
      <c r="H169" s="98" t="s">
        <v>23</v>
      </c>
      <c r="I169" s="98"/>
      <c r="J169" s="98" t="s">
        <v>1013</v>
      </c>
      <c r="K169" s="98" t="s">
        <v>1134</v>
      </c>
      <c r="L169" s="98" t="s">
        <v>52</v>
      </c>
      <c r="M169" s="98"/>
      <c r="N169" s="98"/>
      <c r="O169" s="98" t="s">
        <v>62</v>
      </c>
      <c r="P169" s="98"/>
      <c r="Q169" s="98"/>
      <c r="R169" s="98"/>
      <c r="S169" s="98"/>
      <c r="T169" s="98"/>
      <c r="U169" s="98"/>
      <c r="V169" s="98"/>
      <c r="W169" s="98"/>
      <c r="X169" s="101" t="str">
        <f t="shared" si="6"/>
        <v/>
      </c>
      <c r="Y169" s="111">
        <v>1451</v>
      </c>
      <c r="Z169" s="106" t="s">
        <v>1193</v>
      </c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</row>
    <row r="170" spans="1:38" s="107" customFormat="1">
      <c r="A170" s="97">
        <v>35</v>
      </c>
      <c r="B170" s="103" t="s">
        <v>45</v>
      </c>
      <c r="C170" s="103">
        <v>1982</v>
      </c>
      <c r="D170" s="103" t="s">
        <v>46</v>
      </c>
      <c r="E170" s="99" t="s">
        <v>49</v>
      </c>
      <c r="F170" s="98" t="s">
        <v>50</v>
      </c>
      <c r="G170" s="98" t="s">
        <v>51</v>
      </c>
      <c r="H170" s="98" t="s">
        <v>23</v>
      </c>
      <c r="I170" s="98"/>
      <c r="J170" s="98" t="s">
        <v>1013</v>
      </c>
      <c r="K170" s="98" t="s">
        <v>1134</v>
      </c>
      <c r="L170" s="98" t="s">
        <v>52</v>
      </c>
      <c r="M170" s="98"/>
      <c r="N170" s="98"/>
      <c r="O170" s="98" t="s">
        <v>63</v>
      </c>
      <c r="P170" s="98"/>
      <c r="Q170" s="98"/>
      <c r="R170" s="98"/>
      <c r="S170" s="98"/>
      <c r="T170" s="98"/>
      <c r="U170" s="98"/>
      <c r="V170" s="98"/>
      <c r="W170" s="98"/>
      <c r="X170" s="101" t="str">
        <f t="shared" si="6"/>
        <v/>
      </c>
      <c r="Y170" s="111">
        <v>1503</v>
      </c>
      <c r="Z170" s="106" t="s">
        <v>1193</v>
      </c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</row>
    <row r="171" spans="1:38" s="107" customFormat="1">
      <c r="A171" s="97">
        <v>37</v>
      </c>
      <c r="B171" s="103" t="s">
        <v>45</v>
      </c>
      <c r="C171" s="103">
        <v>1982</v>
      </c>
      <c r="D171" s="103" t="s">
        <v>92</v>
      </c>
      <c r="E171" s="99" t="s">
        <v>49</v>
      </c>
      <c r="F171" s="98">
        <v>1989</v>
      </c>
      <c r="G171" s="98" t="s">
        <v>94</v>
      </c>
      <c r="H171" s="98" t="s">
        <v>95</v>
      </c>
      <c r="I171" s="98"/>
      <c r="J171" s="98" t="s">
        <v>1013</v>
      </c>
      <c r="K171" s="98" t="s">
        <v>1134</v>
      </c>
      <c r="L171" s="98" t="s">
        <v>96</v>
      </c>
      <c r="M171" s="98"/>
      <c r="N171" s="98"/>
      <c r="O171" s="98" t="s">
        <v>102</v>
      </c>
      <c r="P171" s="98"/>
      <c r="Q171" s="98"/>
      <c r="R171" s="98"/>
      <c r="S171" s="98"/>
      <c r="T171" s="98"/>
      <c r="U171" s="98"/>
      <c r="V171" s="98"/>
      <c r="W171" s="98">
        <v>1504</v>
      </c>
      <c r="X171" s="101" t="str">
        <f t="shared" si="6"/>
        <v/>
      </c>
      <c r="Y171" s="111">
        <f>+W171</f>
        <v>1504</v>
      </c>
      <c r="Z171" s="106" t="s">
        <v>1193</v>
      </c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</row>
    <row r="172" spans="1:38" s="107" customFormat="1">
      <c r="A172" s="97">
        <v>46</v>
      </c>
      <c r="B172" s="103" t="s">
        <v>45</v>
      </c>
      <c r="C172" s="103">
        <v>1984</v>
      </c>
      <c r="D172" s="103" t="s">
        <v>113</v>
      </c>
      <c r="E172" s="99" t="s">
        <v>49</v>
      </c>
      <c r="F172" s="98">
        <v>1983</v>
      </c>
      <c r="G172" s="98" t="s">
        <v>116</v>
      </c>
      <c r="H172" s="98" t="s">
        <v>95</v>
      </c>
      <c r="I172" s="98"/>
      <c r="J172" s="98" t="s">
        <v>1013</v>
      </c>
      <c r="K172" s="98" t="s">
        <v>1134</v>
      </c>
      <c r="L172" s="98" t="s">
        <v>117</v>
      </c>
      <c r="M172" s="98"/>
      <c r="N172" s="98"/>
      <c r="O172" s="98" t="s">
        <v>123</v>
      </c>
      <c r="P172" s="98"/>
      <c r="Q172" s="98"/>
      <c r="R172" s="98">
        <v>0.89</v>
      </c>
      <c r="S172" s="98"/>
      <c r="T172" s="98"/>
      <c r="U172" s="98"/>
      <c r="V172" s="98"/>
      <c r="W172" s="98"/>
      <c r="X172" s="101">
        <f t="shared" si="6"/>
        <v>0.89</v>
      </c>
      <c r="Y172" s="111">
        <v>1625</v>
      </c>
      <c r="Z172" s="106" t="str">
        <f t="shared" ref="Z172:Z207" si="8">IF(X172&lt;&gt;"",IF(X172&lt;0.9,"S","F"),"")</f>
        <v>S</v>
      </c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</row>
    <row r="173" spans="1:38" s="107" customFormat="1">
      <c r="A173" s="97">
        <v>46</v>
      </c>
      <c r="B173" s="103" t="s">
        <v>45</v>
      </c>
      <c r="C173" s="103">
        <v>1984</v>
      </c>
      <c r="D173" s="103" t="s">
        <v>113</v>
      </c>
      <c r="E173" s="99" t="s">
        <v>49</v>
      </c>
      <c r="F173" s="98">
        <v>1983</v>
      </c>
      <c r="G173" s="98" t="s">
        <v>116</v>
      </c>
      <c r="H173" s="98" t="s">
        <v>95</v>
      </c>
      <c r="I173" s="98"/>
      <c r="J173" s="98" t="s">
        <v>1013</v>
      </c>
      <c r="K173" s="98" t="s">
        <v>1134</v>
      </c>
      <c r="L173" s="98" t="s">
        <v>117</v>
      </c>
      <c r="M173" s="98"/>
      <c r="N173" s="98"/>
      <c r="O173" s="98" t="s">
        <v>126</v>
      </c>
      <c r="P173" s="98"/>
      <c r="Q173" s="98"/>
      <c r="R173" s="98">
        <v>0.89</v>
      </c>
      <c r="S173" s="98"/>
      <c r="T173" s="98"/>
      <c r="U173" s="98"/>
      <c r="V173" s="98"/>
      <c r="W173" s="98"/>
      <c r="X173" s="101">
        <f t="shared" si="6"/>
        <v>0.89</v>
      </c>
      <c r="Y173" s="111">
        <v>1635</v>
      </c>
      <c r="Z173" s="106" t="str">
        <f t="shared" si="8"/>
        <v>S</v>
      </c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</row>
    <row r="174" spans="1:38" s="107" customFormat="1">
      <c r="A174" s="97">
        <v>46</v>
      </c>
      <c r="B174" s="103" t="s">
        <v>45</v>
      </c>
      <c r="C174" s="103">
        <v>1984</v>
      </c>
      <c r="D174" s="103" t="s">
        <v>113</v>
      </c>
      <c r="E174" s="99" t="s">
        <v>49</v>
      </c>
      <c r="F174" s="98">
        <v>1983</v>
      </c>
      <c r="G174" s="98" t="s">
        <v>116</v>
      </c>
      <c r="H174" s="98" t="s">
        <v>95</v>
      </c>
      <c r="I174" s="98"/>
      <c r="J174" s="98" t="s">
        <v>1013</v>
      </c>
      <c r="K174" s="98" t="s">
        <v>1134</v>
      </c>
      <c r="L174" s="98" t="s">
        <v>117</v>
      </c>
      <c r="M174" s="98"/>
      <c r="N174" s="98"/>
      <c r="O174" s="98" t="s">
        <v>121</v>
      </c>
      <c r="P174" s="98"/>
      <c r="Q174" s="98"/>
      <c r="R174" s="98">
        <v>0.88</v>
      </c>
      <c r="S174" s="98"/>
      <c r="T174" s="98"/>
      <c r="U174" s="98"/>
      <c r="V174" s="98"/>
      <c r="W174" s="98"/>
      <c r="X174" s="101">
        <f t="shared" si="6"/>
        <v>0.88</v>
      </c>
      <c r="Y174" s="111">
        <v>1632</v>
      </c>
      <c r="Z174" s="106" t="str">
        <f t="shared" si="8"/>
        <v>S</v>
      </c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</row>
    <row r="175" spans="1:38" s="107" customFormat="1">
      <c r="A175" s="97">
        <v>46</v>
      </c>
      <c r="B175" s="103" t="s">
        <v>45</v>
      </c>
      <c r="C175" s="103">
        <v>1984</v>
      </c>
      <c r="D175" s="103" t="s">
        <v>113</v>
      </c>
      <c r="E175" s="99" t="s">
        <v>49</v>
      </c>
      <c r="F175" s="98">
        <v>1983</v>
      </c>
      <c r="G175" s="98" t="s">
        <v>116</v>
      </c>
      <c r="H175" s="98" t="s">
        <v>95</v>
      </c>
      <c r="I175" s="98"/>
      <c r="J175" s="98" t="s">
        <v>1013</v>
      </c>
      <c r="K175" s="98" t="s">
        <v>1134</v>
      </c>
      <c r="L175" s="98" t="s">
        <v>117</v>
      </c>
      <c r="M175" s="98"/>
      <c r="N175" s="98"/>
      <c r="O175" s="98" t="s">
        <v>128</v>
      </c>
      <c r="P175" s="98"/>
      <c r="Q175" s="98"/>
      <c r="R175" s="98">
        <v>0.85</v>
      </c>
      <c r="S175" s="98"/>
      <c r="T175" s="98"/>
      <c r="U175" s="98"/>
      <c r="V175" s="98"/>
      <c r="W175" s="98"/>
      <c r="X175" s="101">
        <f t="shared" si="6"/>
        <v>0.85</v>
      </c>
      <c r="Y175" s="111">
        <v>1555</v>
      </c>
      <c r="Z175" s="106" t="str">
        <f t="shared" si="8"/>
        <v>S</v>
      </c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</row>
    <row r="176" spans="1:38" s="107" customFormat="1">
      <c r="A176" s="97">
        <v>35</v>
      </c>
      <c r="B176" s="103" t="s">
        <v>45</v>
      </c>
      <c r="C176" s="103">
        <v>1982</v>
      </c>
      <c r="D176" s="103" t="s">
        <v>46</v>
      </c>
      <c r="E176" s="99" t="s">
        <v>49</v>
      </c>
      <c r="F176" s="98" t="s">
        <v>50</v>
      </c>
      <c r="G176" s="98" t="s">
        <v>51</v>
      </c>
      <c r="H176" s="98" t="s">
        <v>23</v>
      </c>
      <c r="I176" s="98"/>
      <c r="J176" s="98" t="s">
        <v>1013</v>
      </c>
      <c r="K176" s="98" t="s">
        <v>1134</v>
      </c>
      <c r="L176" s="98" t="s">
        <v>52</v>
      </c>
      <c r="M176" s="98"/>
      <c r="N176" s="98"/>
      <c r="O176" s="98" t="s">
        <v>67</v>
      </c>
      <c r="P176" s="98"/>
      <c r="Q176" s="98">
        <v>0.84</v>
      </c>
      <c r="R176" s="98">
        <f>+Q176</f>
        <v>0.84</v>
      </c>
      <c r="S176" s="98"/>
      <c r="T176" s="98"/>
      <c r="U176" s="98"/>
      <c r="V176" s="98"/>
      <c r="W176" s="98">
        <v>1534</v>
      </c>
      <c r="X176" s="101">
        <f t="shared" si="6"/>
        <v>0.84</v>
      </c>
      <c r="Y176" s="111">
        <f>+W176</f>
        <v>1534</v>
      </c>
      <c r="Z176" s="106" t="str">
        <f t="shared" si="8"/>
        <v>S</v>
      </c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</row>
    <row r="177" spans="1:38" s="107" customFormat="1">
      <c r="A177" s="97">
        <v>35</v>
      </c>
      <c r="B177" s="103" t="s">
        <v>45</v>
      </c>
      <c r="C177" s="103">
        <v>1982</v>
      </c>
      <c r="D177" s="103" t="s">
        <v>46</v>
      </c>
      <c r="E177" s="99" t="s">
        <v>49</v>
      </c>
      <c r="F177" s="98" t="s">
        <v>50</v>
      </c>
      <c r="G177" s="98" t="s">
        <v>51</v>
      </c>
      <c r="H177" s="98" t="s">
        <v>23</v>
      </c>
      <c r="I177" s="98"/>
      <c r="J177" s="98" t="s">
        <v>1013</v>
      </c>
      <c r="K177" s="98" t="s">
        <v>1134</v>
      </c>
      <c r="L177" s="98" t="s">
        <v>52</v>
      </c>
      <c r="M177" s="98"/>
      <c r="N177" s="98"/>
      <c r="O177" s="98" t="s">
        <v>71</v>
      </c>
      <c r="P177" s="98">
        <v>0.84</v>
      </c>
      <c r="Q177" s="98"/>
      <c r="R177" s="98">
        <f>+P177</f>
        <v>0.84</v>
      </c>
      <c r="S177" s="98"/>
      <c r="T177" s="98"/>
      <c r="U177" s="98"/>
      <c r="V177" s="98">
        <v>1538</v>
      </c>
      <c r="W177" s="98"/>
      <c r="X177" s="101">
        <f t="shared" si="6"/>
        <v>0.84</v>
      </c>
      <c r="Y177" s="111">
        <f>+V177</f>
        <v>1538</v>
      </c>
      <c r="Z177" s="106" t="str">
        <f t="shared" si="8"/>
        <v>S</v>
      </c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</row>
    <row r="178" spans="1:38" s="107" customFormat="1">
      <c r="A178" s="97">
        <v>46</v>
      </c>
      <c r="B178" s="103" t="s">
        <v>45</v>
      </c>
      <c r="C178" s="103">
        <v>1984</v>
      </c>
      <c r="D178" s="103" t="s">
        <v>113</v>
      </c>
      <c r="E178" s="99" t="s">
        <v>49</v>
      </c>
      <c r="F178" s="98">
        <v>1983</v>
      </c>
      <c r="G178" s="98" t="s">
        <v>116</v>
      </c>
      <c r="H178" s="98" t="s">
        <v>95</v>
      </c>
      <c r="I178" s="98"/>
      <c r="J178" s="98" t="s">
        <v>1013</v>
      </c>
      <c r="K178" s="98" t="s">
        <v>1134</v>
      </c>
      <c r="L178" s="98" t="s">
        <v>117</v>
      </c>
      <c r="M178" s="98"/>
      <c r="N178" s="98"/>
      <c r="O178" s="98" t="s">
        <v>132</v>
      </c>
      <c r="P178" s="98"/>
      <c r="Q178" s="98"/>
      <c r="R178" s="98">
        <v>0.81</v>
      </c>
      <c r="S178" s="98"/>
      <c r="T178" s="98"/>
      <c r="U178" s="98"/>
      <c r="V178" s="98"/>
      <c r="W178" s="98"/>
      <c r="X178" s="101">
        <f t="shared" si="6"/>
        <v>0.81</v>
      </c>
      <c r="Y178" s="111">
        <v>1483</v>
      </c>
      <c r="Z178" s="106" t="str">
        <f t="shared" si="8"/>
        <v>S</v>
      </c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</row>
    <row r="179" spans="1:38" s="107" customFormat="1">
      <c r="A179" s="97">
        <v>46</v>
      </c>
      <c r="B179" s="103" t="s">
        <v>45</v>
      </c>
      <c r="C179" s="103">
        <v>1984</v>
      </c>
      <c r="D179" s="103" t="s">
        <v>113</v>
      </c>
      <c r="E179" s="99" t="s">
        <v>49</v>
      </c>
      <c r="F179" s="98">
        <v>1983</v>
      </c>
      <c r="G179" s="98" t="s">
        <v>116</v>
      </c>
      <c r="H179" s="98" t="s">
        <v>95</v>
      </c>
      <c r="I179" s="98"/>
      <c r="J179" s="98" t="s">
        <v>1013</v>
      </c>
      <c r="K179" s="98" t="s">
        <v>1134</v>
      </c>
      <c r="L179" s="98" t="s">
        <v>117</v>
      </c>
      <c r="M179" s="98"/>
      <c r="N179" s="98"/>
      <c r="O179" s="98" t="s">
        <v>130</v>
      </c>
      <c r="P179" s="98"/>
      <c r="Q179" s="98"/>
      <c r="R179" s="98">
        <v>0.8</v>
      </c>
      <c r="S179" s="98"/>
      <c r="T179" s="98"/>
      <c r="U179" s="98"/>
      <c r="V179" s="98"/>
      <c r="W179" s="98"/>
      <c r="X179" s="101">
        <f t="shared" si="6"/>
        <v>0.8</v>
      </c>
      <c r="Y179" s="111">
        <v>1458</v>
      </c>
      <c r="Z179" s="106" t="str">
        <f t="shared" si="8"/>
        <v>S</v>
      </c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</row>
    <row r="180" spans="1:38" s="107" customFormat="1">
      <c r="A180" s="97">
        <v>46</v>
      </c>
      <c r="B180" s="103" t="s">
        <v>45</v>
      </c>
      <c r="C180" s="103">
        <v>1984</v>
      </c>
      <c r="D180" s="103" t="s">
        <v>113</v>
      </c>
      <c r="E180" s="99" t="s">
        <v>49</v>
      </c>
      <c r="F180" s="98">
        <v>1983</v>
      </c>
      <c r="G180" s="98" t="s">
        <v>116</v>
      </c>
      <c r="H180" s="98" t="s">
        <v>95</v>
      </c>
      <c r="I180" s="98"/>
      <c r="J180" s="98" t="s">
        <v>1013</v>
      </c>
      <c r="K180" s="98" t="s">
        <v>1134</v>
      </c>
      <c r="L180" s="98" t="s">
        <v>117</v>
      </c>
      <c r="M180" s="98"/>
      <c r="N180" s="98"/>
      <c r="O180" s="98" t="s">
        <v>120</v>
      </c>
      <c r="P180" s="98"/>
      <c r="Q180" s="98"/>
      <c r="R180" s="98">
        <v>0.8</v>
      </c>
      <c r="S180" s="98"/>
      <c r="T180" s="98"/>
      <c r="U180" s="98"/>
      <c r="V180" s="98"/>
      <c r="W180" s="98"/>
      <c r="X180" s="101">
        <f t="shared" si="6"/>
        <v>0.8</v>
      </c>
      <c r="Y180" s="111">
        <v>1468</v>
      </c>
      <c r="Z180" s="106" t="str">
        <f t="shared" si="8"/>
        <v>S</v>
      </c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</row>
    <row r="181" spans="1:38" s="107" customFormat="1">
      <c r="A181" s="97">
        <v>46</v>
      </c>
      <c r="B181" s="103" t="s">
        <v>45</v>
      </c>
      <c r="C181" s="103">
        <v>1984</v>
      </c>
      <c r="D181" s="103" t="s">
        <v>113</v>
      </c>
      <c r="E181" s="99" t="s">
        <v>49</v>
      </c>
      <c r="F181" s="98">
        <v>1983</v>
      </c>
      <c r="G181" s="98" t="s">
        <v>116</v>
      </c>
      <c r="H181" s="98" t="s">
        <v>95</v>
      </c>
      <c r="I181" s="98"/>
      <c r="J181" s="98" t="s">
        <v>1013</v>
      </c>
      <c r="K181" s="98" t="s">
        <v>1134</v>
      </c>
      <c r="L181" s="98" t="s">
        <v>117</v>
      </c>
      <c r="M181" s="98"/>
      <c r="N181" s="98"/>
      <c r="O181" s="98" t="s">
        <v>122</v>
      </c>
      <c r="P181" s="98"/>
      <c r="Q181" s="98"/>
      <c r="R181" s="98">
        <v>0.79</v>
      </c>
      <c r="S181" s="98"/>
      <c r="T181" s="98"/>
      <c r="U181" s="98"/>
      <c r="V181" s="98"/>
      <c r="W181" s="98"/>
      <c r="X181" s="101">
        <f t="shared" si="6"/>
        <v>0.79</v>
      </c>
      <c r="Y181" s="111">
        <v>1455</v>
      </c>
      <c r="Z181" s="106" t="str">
        <f t="shared" si="8"/>
        <v>S</v>
      </c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</row>
    <row r="182" spans="1:38" s="107" customFormat="1">
      <c r="A182" s="97">
        <v>35</v>
      </c>
      <c r="B182" s="103" t="s">
        <v>45</v>
      </c>
      <c r="C182" s="103">
        <v>1982</v>
      </c>
      <c r="D182" s="103" t="s">
        <v>46</v>
      </c>
      <c r="E182" s="99" t="s">
        <v>49</v>
      </c>
      <c r="F182" s="98" t="s">
        <v>50</v>
      </c>
      <c r="G182" s="98" t="s">
        <v>51</v>
      </c>
      <c r="H182" s="98" t="s">
        <v>23</v>
      </c>
      <c r="I182" s="98"/>
      <c r="J182" s="98" t="s">
        <v>1013</v>
      </c>
      <c r="K182" s="98" t="s">
        <v>1134</v>
      </c>
      <c r="L182" s="98" t="s">
        <v>52</v>
      </c>
      <c r="M182" s="98"/>
      <c r="N182" s="98"/>
      <c r="O182" s="98" t="s">
        <v>70</v>
      </c>
      <c r="P182" s="98"/>
      <c r="Q182" s="98">
        <v>0.78</v>
      </c>
      <c r="R182" s="98">
        <f>+Q182</f>
        <v>0.78</v>
      </c>
      <c r="S182" s="98"/>
      <c r="T182" s="98"/>
      <c r="U182" s="98"/>
      <c r="V182" s="98"/>
      <c r="W182" s="98">
        <v>1421</v>
      </c>
      <c r="X182" s="101">
        <f t="shared" si="6"/>
        <v>0.78</v>
      </c>
      <c r="Y182" s="111">
        <f>+W182</f>
        <v>1421</v>
      </c>
      <c r="Z182" s="106" t="str">
        <f t="shared" si="8"/>
        <v>S</v>
      </c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</row>
    <row r="183" spans="1:38" s="107" customFormat="1">
      <c r="A183" s="97">
        <v>35</v>
      </c>
      <c r="B183" s="103" t="s">
        <v>45</v>
      </c>
      <c r="C183" s="103">
        <v>1982</v>
      </c>
      <c r="D183" s="103" t="s">
        <v>46</v>
      </c>
      <c r="E183" s="99" t="s">
        <v>49</v>
      </c>
      <c r="F183" s="98" t="s">
        <v>50</v>
      </c>
      <c r="G183" s="98" t="s">
        <v>51</v>
      </c>
      <c r="H183" s="98" t="s">
        <v>23</v>
      </c>
      <c r="I183" s="98"/>
      <c r="J183" s="98" t="s">
        <v>1013</v>
      </c>
      <c r="K183" s="98" t="s">
        <v>1134</v>
      </c>
      <c r="L183" s="98" t="s">
        <v>52</v>
      </c>
      <c r="M183" s="98"/>
      <c r="N183" s="98"/>
      <c r="O183" s="98" t="s">
        <v>69</v>
      </c>
      <c r="P183" s="98"/>
      <c r="Q183" s="98">
        <v>0.78</v>
      </c>
      <c r="R183" s="98">
        <f>+Q183</f>
        <v>0.78</v>
      </c>
      <c r="S183" s="98"/>
      <c r="T183" s="98"/>
      <c r="U183" s="98"/>
      <c r="V183" s="98"/>
      <c r="W183" s="98">
        <v>1423</v>
      </c>
      <c r="X183" s="101">
        <f t="shared" si="6"/>
        <v>0.78</v>
      </c>
      <c r="Y183" s="111">
        <f>+W183</f>
        <v>1423</v>
      </c>
      <c r="Z183" s="106" t="str">
        <f t="shared" si="8"/>
        <v>S</v>
      </c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</row>
    <row r="184" spans="1:38" s="107" customFormat="1">
      <c r="A184" s="97">
        <v>46</v>
      </c>
      <c r="B184" s="103" t="s">
        <v>45</v>
      </c>
      <c r="C184" s="103">
        <v>1984</v>
      </c>
      <c r="D184" s="103" t="s">
        <v>113</v>
      </c>
      <c r="E184" s="99" t="s">
        <v>49</v>
      </c>
      <c r="F184" s="98">
        <v>1983</v>
      </c>
      <c r="G184" s="98" t="s">
        <v>116</v>
      </c>
      <c r="H184" s="98" t="s">
        <v>95</v>
      </c>
      <c r="I184" s="98"/>
      <c r="J184" s="98" t="s">
        <v>1013</v>
      </c>
      <c r="K184" s="98" t="s">
        <v>1134</v>
      </c>
      <c r="L184" s="98" t="s">
        <v>117</v>
      </c>
      <c r="M184" s="98"/>
      <c r="N184" s="98"/>
      <c r="O184" s="98" t="s">
        <v>129</v>
      </c>
      <c r="P184" s="98"/>
      <c r="Q184" s="98"/>
      <c r="R184" s="98">
        <v>0.77</v>
      </c>
      <c r="S184" s="98"/>
      <c r="T184" s="98"/>
      <c r="U184" s="98"/>
      <c r="V184" s="98"/>
      <c r="W184" s="98"/>
      <c r="X184" s="101">
        <f t="shared" si="6"/>
        <v>0.77</v>
      </c>
      <c r="Y184" s="111">
        <v>1403</v>
      </c>
      <c r="Z184" s="106" t="str">
        <f t="shared" si="8"/>
        <v>S</v>
      </c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</row>
    <row r="185" spans="1:38" s="107" customFormat="1">
      <c r="A185" s="97">
        <v>46</v>
      </c>
      <c r="B185" s="103" t="s">
        <v>45</v>
      </c>
      <c r="C185" s="103">
        <v>1984</v>
      </c>
      <c r="D185" s="103" t="s">
        <v>113</v>
      </c>
      <c r="E185" s="99" t="s">
        <v>49</v>
      </c>
      <c r="F185" s="98">
        <v>1983</v>
      </c>
      <c r="G185" s="98" t="s">
        <v>116</v>
      </c>
      <c r="H185" s="98" t="s">
        <v>95</v>
      </c>
      <c r="I185" s="98"/>
      <c r="J185" s="98" t="s">
        <v>1013</v>
      </c>
      <c r="K185" s="98" t="s">
        <v>1134</v>
      </c>
      <c r="L185" s="98" t="s">
        <v>117</v>
      </c>
      <c r="M185" s="98"/>
      <c r="N185" s="98"/>
      <c r="O185" s="98" t="s">
        <v>125</v>
      </c>
      <c r="P185" s="98"/>
      <c r="Q185" s="98"/>
      <c r="R185" s="98">
        <v>0.77</v>
      </c>
      <c r="S185" s="98"/>
      <c r="T185" s="98"/>
      <c r="U185" s="98"/>
      <c r="V185" s="98"/>
      <c r="W185" s="98"/>
      <c r="X185" s="101">
        <f t="shared" si="6"/>
        <v>0.77</v>
      </c>
      <c r="Y185" s="111">
        <v>1413</v>
      </c>
      <c r="Z185" s="106" t="str">
        <f t="shared" si="8"/>
        <v>S</v>
      </c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</row>
    <row r="186" spans="1:38" s="107" customFormat="1">
      <c r="A186" s="97">
        <v>46</v>
      </c>
      <c r="B186" s="103" t="s">
        <v>45</v>
      </c>
      <c r="C186" s="103">
        <v>1984</v>
      </c>
      <c r="D186" s="103" t="s">
        <v>113</v>
      </c>
      <c r="E186" s="99" t="s">
        <v>49</v>
      </c>
      <c r="F186" s="98">
        <v>1983</v>
      </c>
      <c r="G186" s="98" t="s">
        <v>116</v>
      </c>
      <c r="H186" s="98" t="s">
        <v>95</v>
      </c>
      <c r="I186" s="98"/>
      <c r="J186" s="98" t="s">
        <v>1013</v>
      </c>
      <c r="K186" s="98" t="s">
        <v>1134</v>
      </c>
      <c r="L186" s="98" t="s">
        <v>117</v>
      </c>
      <c r="M186" s="98"/>
      <c r="N186" s="98"/>
      <c r="O186" s="98" t="s">
        <v>124</v>
      </c>
      <c r="P186" s="98"/>
      <c r="Q186" s="98"/>
      <c r="R186" s="98">
        <v>0.76</v>
      </c>
      <c r="S186" s="98"/>
      <c r="T186" s="98"/>
      <c r="U186" s="98"/>
      <c r="V186" s="98"/>
      <c r="W186" s="98"/>
      <c r="X186" s="101">
        <f t="shared" si="6"/>
        <v>0.76</v>
      </c>
      <c r="Y186" s="111">
        <v>1427</v>
      </c>
      <c r="Z186" s="106" t="str">
        <f t="shared" si="8"/>
        <v>S</v>
      </c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</row>
    <row r="187" spans="1:38" s="107" customFormat="1">
      <c r="A187" s="97">
        <v>35</v>
      </c>
      <c r="B187" s="103" t="s">
        <v>45</v>
      </c>
      <c r="C187" s="103">
        <v>1982</v>
      </c>
      <c r="D187" s="103" t="s">
        <v>46</v>
      </c>
      <c r="E187" s="99" t="s">
        <v>49</v>
      </c>
      <c r="F187" s="98" t="s">
        <v>50</v>
      </c>
      <c r="G187" s="98" t="s">
        <v>51</v>
      </c>
      <c r="H187" s="98" t="s">
        <v>23</v>
      </c>
      <c r="I187" s="98"/>
      <c r="J187" s="98" t="s">
        <v>1013</v>
      </c>
      <c r="K187" s="98" t="s">
        <v>1134</v>
      </c>
      <c r="L187" s="98" t="s">
        <v>52</v>
      </c>
      <c r="M187" s="98"/>
      <c r="N187" s="98"/>
      <c r="O187" s="98" t="s">
        <v>71</v>
      </c>
      <c r="P187" s="98"/>
      <c r="Q187" s="98">
        <v>0.74</v>
      </c>
      <c r="R187" s="98">
        <f>+Q187</f>
        <v>0.74</v>
      </c>
      <c r="S187" s="98"/>
      <c r="T187" s="98"/>
      <c r="U187" s="98"/>
      <c r="V187" s="98"/>
      <c r="W187" s="98">
        <v>1353</v>
      </c>
      <c r="X187" s="101">
        <f t="shared" si="6"/>
        <v>0.74</v>
      </c>
      <c r="Y187" s="111">
        <f>+W187</f>
        <v>1353</v>
      </c>
      <c r="Z187" s="106" t="str">
        <f t="shared" si="8"/>
        <v>S</v>
      </c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</row>
    <row r="188" spans="1:38" s="107" customFormat="1">
      <c r="A188" s="97">
        <v>35</v>
      </c>
      <c r="B188" s="103" t="s">
        <v>45</v>
      </c>
      <c r="C188" s="103">
        <v>1982</v>
      </c>
      <c r="D188" s="103" t="s">
        <v>46</v>
      </c>
      <c r="E188" s="99" t="s">
        <v>49</v>
      </c>
      <c r="F188" s="98" t="s">
        <v>50</v>
      </c>
      <c r="G188" s="98" t="s">
        <v>51</v>
      </c>
      <c r="H188" s="98" t="s">
        <v>23</v>
      </c>
      <c r="I188" s="98"/>
      <c r="J188" s="98" t="s">
        <v>1013</v>
      </c>
      <c r="K188" s="98" t="s">
        <v>1134</v>
      </c>
      <c r="L188" s="98" t="s">
        <v>52</v>
      </c>
      <c r="M188" s="98"/>
      <c r="N188" s="98"/>
      <c r="O188" s="98" t="s">
        <v>68</v>
      </c>
      <c r="P188" s="98"/>
      <c r="Q188" s="98">
        <v>0.74</v>
      </c>
      <c r="R188" s="98">
        <f>+Q188</f>
        <v>0.74</v>
      </c>
      <c r="S188" s="98"/>
      <c r="T188" s="98"/>
      <c r="U188" s="98"/>
      <c r="V188" s="98"/>
      <c r="W188" s="98">
        <v>1360</v>
      </c>
      <c r="X188" s="101">
        <f t="shared" si="6"/>
        <v>0.74</v>
      </c>
      <c r="Y188" s="111">
        <f>+W188</f>
        <v>1360</v>
      </c>
      <c r="Z188" s="106" t="str">
        <f t="shared" si="8"/>
        <v>S</v>
      </c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</row>
    <row r="189" spans="1:38" s="107" customFormat="1">
      <c r="A189" s="97">
        <v>46</v>
      </c>
      <c r="B189" s="103" t="s">
        <v>45</v>
      </c>
      <c r="C189" s="103">
        <v>1984</v>
      </c>
      <c r="D189" s="103" t="s">
        <v>113</v>
      </c>
      <c r="E189" s="99" t="s">
        <v>49</v>
      </c>
      <c r="F189" s="98">
        <v>1983</v>
      </c>
      <c r="G189" s="98" t="s">
        <v>116</v>
      </c>
      <c r="H189" s="98" t="s">
        <v>95</v>
      </c>
      <c r="I189" s="98"/>
      <c r="J189" s="98" t="s">
        <v>1013</v>
      </c>
      <c r="K189" s="98" t="s">
        <v>1134</v>
      </c>
      <c r="L189" s="98" t="s">
        <v>117</v>
      </c>
      <c r="M189" s="98"/>
      <c r="N189" s="98"/>
      <c r="O189" s="98" t="s">
        <v>127</v>
      </c>
      <c r="P189" s="98"/>
      <c r="Q189" s="98"/>
      <c r="R189" s="98">
        <v>0.74</v>
      </c>
      <c r="S189" s="98"/>
      <c r="T189" s="98"/>
      <c r="U189" s="98"/>
      <c r="V189" s="98"/>
      <c r="W189" s="98"/>
      <c r="X189" s="101">
        <f t="shared" si="6"/>
        <v>0.74</v>
      </c>
      <c r="Y189" s="111">
        <v>1364</v>
      </c>
      <c r="Z189" s="106" t="str">
        <f t="shared" si="8"/>
        <v>S</v>
      </c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</row>
    <row r="190" spans="1:38" s="107" customFormat="1">
      <c r="A190" s="97">
        <v>35</v>
      </c>
      <c r="B190" s="103" t="s">
        <v>45</v>
      </c>
      <c r="C190" s="103">
        <v>1982</v>
      </c>
      <c r="D190" s="103" t="s">
        <v>46</v>
      </c>
      <c r="E190" s="99" t="s">
        <v>49</v>
      </c>
      <c r="F190" s="98" t="s">
        <v>50</v>
      </c>
      <c r="G190" s="98" t="s">
        <v>51</v>
      </c>
      <c r="H190" s="98" t="s">
        <v>23</v>
      </c>
      <c r="I190" s="98"/>
      <c r="J190" s="98" t="s">
        <v>1013</v>
      </c>
      <c r="K190" s="98" t="s">
        <v>1134</v>
      </c>
      <c r="L190" s="98" t="s">
        <v>52</v>
      </c>
      <c r="M190" s="98"/>
      <c r="N190" s="98"/>
      <c r="O190" s="98" t="s">
        <v>72</v>
      </c>
      <c r="P190" s="98"/>
      <c r="Q190" s="98">
        <v>0.71</v>
      </c>
      <c r="R190" s="98">
        <f>+Q190</f>
        <v>0.71</v>
      </c>
      <c r="S190" s="98"/>
      <c r="T190" s="98"/>
      <c r="U190" s="98"/>
      <c r="V190" s="98"/>
      <c r="W190" s="98">
        <v>1297</v>
      </c>
      <c r="X190" s="101">
        <f t="shared" si="6"/>
        <v>0.71</v>
      </c>
      <c r="Y190" s="111">
        <f>+W190</f>
        <v>1297</v>
      </c>
      <c r="Z190" s="106" t="str">
        <f t="shared" si="8"/>
        <v>S</v>
      </c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</row>
    <row r="191" spans="1:38" s="107" customFormat="1">
      <c r="A191" s="97">
        <v>46</v>
      </c>
      <c r="B191" s="103" t="s">
        <v>45</v>
      </c>
      <c r="C191" s="103">
        <v>1984</v>
      </c>
      <c r="D191" s="103" t="s">
        <v>113</v>
      </c>
      <c r="E191" s="99" t="s">
        <v>49</v>
      </c>
      <c r="F191" s="98">
        <v>1983</v>
      </c>
      <c r="G191" s="98" t="s">
        <v>116</v>
      </c>
      <c r="H191" s="98" t="s">
        <v>95</v>
      </c>
      <c r="I191" s="98"/>
      <c r="J191" s="98" t="s">
        <v>1013</v>
      </c>
      <c r="K191" s="98" t="s">
        <v>1134</v>
      </c>
      <c r="L191" s="98" t="s">
        <v>117</v>
      </c>
      <c r="M191" s="98"/>
      <c r="N191" s="98"/>
      <c r="O191" s="98" t="s">
        <v>133</v>
      </c>
      <c r="P191" s="98"/>
      <c r="Q191" s="98"/>
      <c r="R191" s="98">
        <v>0.69</v>
      </c>
      <c r="S191" s="98"/>
      <c r="T191" s="98"/>
      <c r="U191" s="98"/>
      <c r="V191" s="98"/>
      <c r="W191" s="98"/>
      <c r="X191" s="101">
        <f t="shared" si="6"/>
        <v>0.69</v>
      </c>
      <c r="Y191" s="111">
        <v>1261</v>
      </c>
      <c r="Z191" s="106" t="str">
        <f t="shared" si="8"/>
        <v>S</v>
      </c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</row>
    <row r="192" spans="1:38" s="107" customFormat="1">
      <c r="A192" s="97">
        <v>46</v>
      </c>
      <c r="B192" s="103" t="s">
        <v>45</v>
      </c>
      <c r="C192" s="103">
        <v>1984</v>
      </c>
      <c r="D192" s="103" t="s">
        <v>113</v>
      </c>
      <c r="E192" s="99" t="s">
        <v>49</v>
      </c>
      <c r="F192" s="98">
        <v>1983</v>
      </c>
      <c r="G192" s="98" t="s">
        <v>116</v>
      </c>
      <c r="H192" s="98" t="s">
        <v>95</v>
      </c>
      <c r="I192" s="98"/>
      <c r="J192" s="98" t="s">
        <v>1013</v>
      </c>
      <c r="K192" s="98" t="s">
        <v>1134</v>
      </c>
      <c r="L192" s="98" t="s">
        <v>117</v>
      </c>
      <c r="M192" s="98"/>
      <c r="N192" s="98"/>
      <c r="O192" s="98" t="s">
        <v>119</v>
      </c>
      <c r="P192" s="98"/>
      <c r="Q192" s="98"/>
      <c r="R192" s="98">
        <v>0.66</v>
      </c>
      <c r="S192" s="98"/>
      <c r="T192" s="98"/>
      <c r="U192" s="98"/>
      <c r="V192" s="98"/>
      <c r="W192" s="98"/>
      <c r="X192" s="101">
        <f t="shared" si="6"/>
        <v>0.66</v>
      </c>
      <c r="Y192" s="111">
        <v>1204</v>
      </c>
      <c r="Z192" s="106" t="str">
        <f t="shared" si="8"/>
        <v>S</v>
      </c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</row>
    <row r="193" spans="1:38" s="107" customFormat="1">
      <c r="A193" s="97">
        <v>46</v>
      </c>
      <c r="B193" s="103" t="s">
        <v>45</v>
      </c>
      <c r="C193" s="103">
        <v>1984</v>
      </c>
      <c r="D193" s="103" t="s">
        <v>113</v>
      </c>
      <c r="E193" s="99" t="s">
        <v>49</v>
      </c>
      <c r="F193" s="98">
        <v>1983</v>
      </c>
      <c r="G193" s="98" t="s">
        <v>116</v>
      </c>
      <c r="H193" s="98" t="s">
        <v>95</v>
      </c>
      <c r="I193" s="98"/>
      <c r="J193" s="98" t="s">
        <v>1013</v>
      </c>
      <c r="K193" s="98" t="s">
        <v>1134</v>
      </c>
      <c r="L193" s="98" t="s">
        <v>117</v>
      </c>
      <c r="M193" s="98"/>
      <c r="N193" s="98"/>
      <c r="O193" s="98" t="s">
        <v>118</v>
      </c>
      <c r="P193" s="98"/>
      <c r="Q193" s="98"/>
      <c r="R193" s="98">
        <v>0.63</v>
      </c>
      <c r="S193" s="98"/>
      <c r="T193" s="98"/>
      <c r="U193" s="98"/>
      <c r="V193" s="98"/>
      <c r="W193" s="98"/>
      <c r="X193" s="101">
        <f t="shared" si="6"/>
        <v>0.63</v>
      </c>
      <c r="Y193" s="111">
        <v>1146</v>
      </c>
      <c r="Z193" s="106" t="str">
        <f t="shared" si="8"/>
        <v>S</v>
      </c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</row>
    <row r="194" spans="1:38" s="45" customFormat="1">
      <c r="A194" s="53">
        <v>101</v>
      </c>
      <c r="B194" s="73" t="s">
        <v>298</v>
      </c>
      <c r="C194" s="54">
        <v>1994</v>
      </c>
      <c r="D194" s="73" t="s">
        <v>299</v>
      </c>
      <c r="E194" s="56" t="s">
        <v>172</v>
      </c>
      <c r="F194" s="54">
        <v>1994</v>
      </c>
      <c r="G194" s="54" t="s">
        <v>301</v>
      </c>
      <c r="H194" s="54" t="s">
        <v>302</v>
      </c>
      <c r="I194" s="54" t="s">
        <v>1014</v>
      </c>
      <c r="J194" s="54" t="s">
        <v>1013</v>
      </c>
      <c r="K194" s="54"/>
      <c r="L194" s="54" t="s">
        <v>303</v>
      </c>
      <c r="M194" s="54"/>
      <c r="N194" s="54"/>
      <c r="O194" s="54" t="s">
        <v>310</v>
      </c>
      <c r="P194" s="54"/>
      <c r="Q194" s="54"/>
      <c r="R194" s="54"/>
      <c r="S194" s="54"/>
      <c r="T194" s="54"/>
      <c r="U194" s="54">
        <v>0.97</v>
      </c>
      <c r="V194" s="54"/>
      <c r="W194" s="54"/>
      <c r="X194" s="66">
        <f t="shared" ref="X194:X207" si="9">IF(R194&lt;&gt;0,IF(R194&gt;1,R194/100,R194),IF(U194&lt;&gt;0,IF(U194&gt;1,U194/100,U194),""))</f>
        <v>0.97</v>
      </c>
      <c r="Y194" s="72">
        <v>1771</v>
      </c>
      <c r="Z194" s="192" t="str">
        <f t="shared" si="8"/>
        <v>F</v>
      </c>
      <c r="AA194" s="198"/>
      <c r="AB194" s="198" t="s">
        <v>1206</v>
      </c>
      <c r="AC194" s="198" t="s">
        <v>1207</v>
      </c>
      <c r="AD194" s="198" t="s">
        <v>1208</v>
      </c>
      <c r="AE194" s="198" t="s">
        <v>1209</v>
      </c>
      <c r="AF194" s="198" t="s">
        <v>1210</v>
      </c>
      <c r="AG194" s="198" t="s">
        <v>1211</v>
      </c>
      <c r="AH194" s="172"/>
      <c r="AI194" s="172"/>
      <c r="AJ194" s="172"/>
      <c r="AK194" s="172"/>
      <c r="AL194" s="172"/>
    </row>
    <row r="195" spans="1:38" s="45" customFormat="1">
      <c r="A195" s="53">
        <v>101</v>
      </c>
      <c r="B195" s="73" t="s">
        <v>298</v>
      </c>
      <c r="C195" s="54">
        <v>1994</v>
      </c>
      <c r="D195" s="73" t="s">
        <v>299</v>
      </c>
      <c r="E195" s="56" t="s">
        <v>172</v>
      </c>
      <c r="F195" s="54">
        <v>1994</v>
      </c>
      <c r="G195" s="54" t="s">
        <v>301</v>
      </c>
      <c r="H195" s="54" t="s">
        <v>302</v>
      </c>
      <c r="I195" s="54" t="s">
        <v>1014</v>
      </c>
      <c r="J195" s="54" t="s">
        <v>1013</v>
      </c>
      <c r="K195" s="54"/>
      <c r="L195" s="54" t="s">
        <v>303</v>
      </c>
      <c r="M195" s="54"/>
      <c r="N195" s="54"/>
      <c r="O195" s="54" t="s">
        <v>307</v>
      </c>
      <c r="P195" s="54"/>
      <c r="Q195" s="54"/>
      <c r="R195" s="54"/>
      <c r="S195" s="54"/>
      <c r="T195" s="54"/>
      <c r="U195" s="54">
        <v>0.96</v>
      </c>
      <c r="V195" s="54"/>
      <c r="W195" s="54"/>
      <c r="X195" s="66">
        <f t="shared" si="9"/>
        <v>0.96</v>
      </c>
      <c r="Y195" s="72">
        <v>1751</v>
      </c>
      <c r="Z195" s="192" t="str">
        <f t="shared" si="8"/>
        <v>F</v>
      </c>
      <c r="AA195" s="198" t="s">
        <v>1327</v>
      </c>
      <c r="AB195" s="198">
        <f>AVERAGE($Y$194:$Y$199)</f>
        <v>1726.5</v>
      </c>
      <c r="AC195" s="198">
        <f>MEDIAN($Y$194:$Y$199)</f>
        <v>1722.5</v>
      </c>
      <c r="AD195" s="198">
        <f>MAX($Y$194:$Y$199)</f>
        <v>1771</v>
      </c>
      <c r="AE195" s="198">
        <f>MIN($Y$194:$Y$199)</f>
        <v>1686</v>
      </c>
      <c r="AF195" s="198">
        <f>STDEV($Y$194:$Y$199)</f>
        <v>31.040296390337513</v>
      </c>
      <c r="AG195" s="198">
        <f>COUNT($Y$194:$Y$199)</f>
        <v>6</v>
      </c>
      <c r="AH195" s="172"/>
      <c r="AI195" s="172"/>
      <c r="AJ195" s="172"/>
      <c r="AK195" s="172"/>
      <c r="AL195" s="172"/>
    </row>
    <row r="196" spans="1:38" s="45" customFormat="1">
      <c r="A196" s="53">
        <v>101</v>
      </c>
      <c r="B196" s="73" t="s">
        <v>298</v>
      </c>
      <c r="C196" s="54">
        <v>1994</v>
      </c>
      <c r="D196" s="73" t="s">
        <v>299</v>
      </c>
      <c r="E196" s="56" t="s">
        <v>172</v>
      </c>
      <c r="F196" s="54">
        <v>1994</v>
      </c>
      <c r="G196" s="54" t="s">
        <v>301</v>
      </c>
      <c r="H196" s="54" t="s">
        <v>302</v>
      </c>
      <c r="I196" s="54" t="s">
        <v>1014</v>
      </c>
      <c r="J196" s="54" t="s">
        <v>1013</v>
      </c>
      <c r="K196" s="54"/>
      <c r="L196" s="54" t="s">
        <v>303</v>
      </c>
      <c r="M196" s="54"/>
      <c r="N196" s="54"/>
      <c r="O196" s="54" t="s">
        <v>305</v>
      </c>
      <c r="P196" s="54"/>
      <c r="Q196" s="54"/>
      <c r="R196" s="54"/>
      <c r="S196" s="54"/>
      <c r="T196" s="54"/>
      <c r="U196" s="54">
        <v>0.95</v>
      </c>
      <c r="V196" s="54"/>
      <c r="W196" s="54"/>
      <c r="X196" s="66">
        <f t="shared" si="9"/>
        <v>0.95</v>
      </c>
      <c r="Y196" s="72">
        <v>1731</v>
      </c>
      <c r="Z196" s="192" t="str">
        <f t="shared" si="8"/>
        <v>F</v>
      </c>
      <c r="AA196" s="198" t="s">
        <v>1328</v>
      </c>
      <c r="AB196" s="198">
        <f>AVERAGE($Y$200:$Y$201)</f>
        <v>1435.9166666666665</v>
      </c>
      <c r="AC196" s="198">
        <f>MEDIAN($Y$200:$Y$201)</f>
        <v>1435.9166666666665</v>
      </c>
      <c r="AD196" s="198">
        <f>MAX($Y$200:$Y$201)</f>
        <v>1561</v>
      </c>
      <c r="AE196" s="198">
        <f>MIN($Y$200:$Y$201)</f>
        <v>1310.8333333333333</v>
      </c>
      <c r="AF196" s="198">
        <f>STDEV($Y$200:$Y$201)</f>
        <v>176.89454642683469</v>
      </c>
      <c r="AG196" s="198">
        <f>COUNT($Y$200:$Y$201)</f>
        <v>2</v>
      </c>
      <c r="AH196" s="172"/>
      <c r="AI196" s="172"/>
      <c r="AJ196" s="172"/>
      <c r="AK196" s="172"/>
      <c r="AL196" s="172"/>
    </row>
    <row r="197" spans="1:38" s="45" customFormat="1">
      <c r="A197" s="53">
        <v>101</v>
      </c>
      <c r="B197" s="73" t="s">
        <v>298</v>
      </c>
      <c r="C197" s="54">
        <v>1994</v>
      </c>
      <c r="D197" s="73" t="s">
        <v>299</v>
      </c>
      <c r="E197" s="56" t="s">
        <v>172</v>
      </c>
      <c r="F197" s="54">
        <v>1994</v>
      </c>
      <c r="G197" s="54" t="s">
        <v>301</v>
      </c>
      <c r="H197" s="54" t="s">
        <v>302</v>
      </c>
      <c r="I197" s="54" t="s">
        <v>1014</v>
      </c>
      <c r="J197" s="54" t="s">
        <v>1013</v>
      </c>
      <c r="K197" s="54"/>
      <c r="L197" s="54" t="s">
        <v>303</v>
      </c>
      <c r="M197" s="54"/>
      <c r="N197" s="54"/>
      <c r="O197" s="54" t="s">
        <v>304</v>
      </c>
      <c r="P197" s="54"/>
      <c r="Q197" s="54"/>
      <c r="R197" s="54"/>
      <c r="S197" s="54"/>
      <c r="T197" s="54"/>
      <c r="U197" s="54">
        <v>0.94</v>
      </c>
      <c r="V197" s="54"/>
      <c r="W197" s="54"/>
      <c r="X197" s="66">
        <f t="shared" si="9"/>
        <v>0.94</v>
      </c>
      <c r="Y197" s="72">
        <v>1686</v>
      </c>
      <c r="Z197" s="192" t="str">
        <f t="shared" si="8"/>
        <v>F</v>
      </c>
      <c r="AA197" s="172" t="s">
        <v>1329</v>
      </c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</row>
    <row r="198" spans="1:38" s="45" customFormat="1">
      <c r="A198" s="53">
        <v>101</v>
      </c>
      <c r="B198" s="73" t="s">
        <v>298</v>
      </c>
      <c r="C198" s="54">
        <v>1994</v>
      </c>
      <c r="D198" s="73" t="s">
        <v>299</v>
      </c>
      <c r="E198" s="56" t="s">
        <v>172</v>
      </c>
      <c r="F198" s="54">
        <v>1994</v>
      </c>
      <c r="G198" s="54" t="s">
        <v>301</v>
      </c>
      <c r="H198" s="54" t="s">
        <v>302</v>
      </c>
      <c r="I198" s="54" t="s">
        <v>1014</v>
      </c>
      <c r="J198" s="54" t="s">
        <v>1013</v>
      </c>
      <c r="K198" s="54"/>
      <c r="L198" s="54" t="s">
        <v>303</v>
      </c>
      <c r="M198" s="54"/>
      <c r="N198" s="54"/>
      <c r="O198" s="54" t="s">
        <v>308</v>
      </c>
      <c r="P198" s="54"/>
      <c r="Q198" s="54"/>
      <c r="R198" s="54"/>
      <c r="S198" s="54"/>
      <c r="T198" s="54"/>
      <c r="U198" s="54">
        <v>0.94</v>
      </c>
      <c r="V198" s="54"/>
      <c r="W198" s="54"/>
      <c r="X198" s="66">
        <f t="shared" si="9"/>
        <v>0.94</v>
      </c>
      <c r="Y198" s="72">
        <v>1706</v>
      </c>
      <c r="Z198" s="192" t="str">
        <f t="shared" si="8"/>
        <v>F</v>
      </c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</row>
    <row r="199" spans="1:38" s="45" customFormat="1">
      <c r="A199" s="53">
        <v>101</v>
      </c>
      <c r="B199" s="73" t="s">
        <v>298</v>
      </c>
      <c r="C199" s="54">
        <v>1994</v>
      </c>
      <c r="D199" s="73" t="s">
        <v>299</v>
      </c>
      <c r="E199" s="56" t="s">
        <v>172</v>
      </c>
      <c r="F199" s="54">
        <v>1994</v>
      </c>
      <c r="G199" s="54" t="s">
        <v>301</v>
      </c>
      <c r="H199" s="54" t="s">
        <v>302</v>
      </c>
      <c r="I199" s="54" t="s">
        <v>1014</v>
      </c>
      <c r="J199" s="54" t="s">
        <v>1013</v>
      </c>
      <c r="K199" s="54"/>
      <c r="L199" s="54" t="s">
        <v>303</v>
      </c>
      <c r="M199" s="54"/>
      <c r="N199" s="54"/>
      <c r="O199" s="54" t="s">
        <v>306</v>
      </c>
      <c r="P199" s="54"/>
      <c r="Q199" s="54"/>
      <c r="R199" s="54"/>
      <c r="S199" s="54"/>
      <c r="T199" s="54"/>
      <c r="U199" s="54">
        <v>0.94</v>
      </c>
      <c r="V199" s="54"/>
      <c r="W199" s="54"/>
      <c r="X199" s="66">
        <f t="shared" si="9"/>
        <v>0.94</v>
      </c>
      <c r="Y199" s="72">
        <v>1714</v>
      </c>
      <c r="Z199" s="192" t="str">
        <f t="shared" si="8"/>
        <v>F</v>
      </c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</row>
    <row r="200" spans="1:38" s="45" customFormat="1">
      <c r="A200" s="53">
        <v>101</v>
      </c>
      <c r="B200" s="73" t="s">
        <v>298</v>
      </c>
      <c r="C200" s="54">
        <v>1994</v>
      </c>
      <c r="D200" s="73" t="s">
        <v>299</v>
      </c>
      <c r="E200" s="56" t="s">
        <v>172</v>
      </c>
      <c r="F200" s="54">
        <v>1994</v>
      </c>
      <c r="G200" s="54" t="s">
        <v>301</v>
      </c>
      <c r="H200" s="54" t="s">
        <v>302</v>
      </c>
      <c r="I200" s="54" t="s">
        <v>1014</v>
      </c>
      <c r="J200" s="54" t="s">
        <v>1013</v>
      </c>
      <c r="K200" s="54"/>
      <c r="L200" s="54" t="s">
        <v>303</v>
      </c>
      <c r="M200" s="54"/>
      <c r="N200" s="54"/>
      <c r="O200" s="54" t="s">
        <v>309</v>
      </c>
      <c r="P200" s="54"/>
      <c r="Q200" s="54"/>
      <c r="R200" s="54"/>
      <c r="S200" s="54"/>
      <c r="T200" s="54"/>
      <c r="U200" s="54">
        <v>0.86</v>
      </c>
      <c r="V200" s="54"/>
      <c r="W200" s="54"/>
      <c r="X200" s="66">
        <f t="shared" si="9"/>
        <v>0.86</v>
      </c>
      <c r="Y200" s="72">
        <v>1561</v>
      </c>
      <c r="Z200" s="192" t="str">
        <f t="shared" si="8"/>
        <v>S</v>
      </c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</row>
    <row r="201" spans="1:38" s="45" customFormat="1">
      <c r="A201" s="172"/>
      <c r="B201" s="67" t="s">
        <v>968</v>
      </c>
      <c r="C201" s="171">
        <v>1996</v>
      </c>
      <c r="D201" s="172"/>
      <c r="E201" s="296" t="s">
        <v>172</v>
      </c>
      <c r="F201" s="172"/>
      <c r="G201" s="172"/>
      <c r="H201" s="66" t="s">
        <v>302</v>
      </c>
      <c r="I201" s="66" t="s">
        <v>1014</v>
      </c>
      <c r="J201" s="66" t="s">
        <v>1013</v>
      </c>
      <c r="K201" s="54"/>
      <c r="L201" s="172"/>
      <c r="M201" s="66"/>
      <c r="N201" s="66"/>
      <c r="O201" s="67" t="s">
        <v>1009</v>
      </c>
      <c r="P201" s="172"/>
      <c r="Q201" s="172"/>
      <c r="R201" s="172"/>
      <c r="S201" s="172"/>
      <c r="T201" s="172"/>
      <c r="U201" s="172">
        <v>0.81</v>
      </c>
      <c r="V201" s="172"/>
      <c r="W201" s="172">
        <f>715*44/12/2</f>
        <v>1310.8333333333333</v>
      </c>
      <c r="X201" s="66">
        <f t="shared" si="9"/>
        <v>0.81</v>
      </c>
      <c r="Y201" s="297">
        <f>715*44/12/2</f>
        <v>1310.8333333333333</v>
      </c>
      <c r="Z201" s="192" t="str">
        <f t="shared" si="8"/>
        <v>S</v>
      </c>
      <c r="AA201" s="300"/>
      <c r="AB201" s="198" t="s">
        <v>1206</v>
      </c>
      <c r="AC201" s="198" t="s">
        <v>1207</v>
      </c>
      <c r="AD201" s="198" t="s">
        <v>1208</v>
      </c>
      <c r="AE201" s="198" t="s">
        <v>1209</v>
      </c>
      <c r="AF201" s="198" t="s">
        <v>1210</v>
      </c>
      <c r="AG201" s="198" t="s">
        <v>1211</v>
      </c>
      <c r="AI201" s="172"/>
      <c r="AJ201" s="172"/>
      <c r="AK201" s="172"/>
      <c r="AL201" s="172"/>
    </row>
    <row r="202" spans="1:38" s="107" customFormat="1">
      <c r="A202" s="97">
        <v>172</v>
      </c>
      <c r="B202" s="98" t="s">
        <v>585</v>
      </c>
      <c r="C202" s="98">
        <v>2010</v>
      </c>
      <c r="D202" s="98" t="s">
        <v>586</v>
      </c>
      <c r="E202" s="99" t="s">
        <v>589</v>
      </c>
      <c r="F202" s="100">
        <v>40234</v>
      </c>
      <c r="G202" s="98" t="s">
        <v>631</v>
      </c>
      <c r="H202" s="98" t="s">
        <v>159</v>
      </c>
      <c r="I202" s="98"/>
      <c r="J202" s="101" t="s">
        <v>1013</v>
      </c>
      <c r="K202" s="98" t="s">
        <v>1068</v>
      </c>
      <c r="L202" s="98" t="s">
        <v>632</v>
      </c>
      <c r="M202" s="102" t="s">
        <v>633</v>
      </c>
      <c r="N202" s="102"/>
      <c r="O202" s="98"/>
      <c r="P202" s="103"/>
      <c r="Q202" s="103"/>
      <c r="R202" s="98"/>
      <c r="S202" s="98"/>
      <c r="T202" s="98"/>
      <c r="U202" s="104">
        <v>0.93400000000000005</v>
      </c>
      <c r="V202" s="128"/>
      <c r="W202" s="128"/>
      <c r="X202" s="101">
        <f t="shared" si="9"/>
        <v>0.93400000000000005</v>
      </c>
      <c r="Y202" s="221">
        <v>1785</v>
      </c>
      <c r="Z202" s="106" t="str">
        <f t="shared" si="8"/>
        <v>F</v>
      </c>
      <c r="AA202" s="198" t="str">
        <f>+K202</f>
        <v>W conifer - Engelmann spruce branches</v>
      </c>
      <c r="AB202" s="198">
        <f>+$Y$202</f>
        <v>1785</v>
      </c>
      <c r="AC202" s="198">
        <f>+$Y$202</f>
        <v>1785</v>
      </c>
      <c r="AD202" s="198"/>
      <c r="AE202" s="198"/>
      <c r="AF202" s="198"/>
      <c r="AG202" s="198">
        <f>COUNT(+$Y$202)</f>
        <v>1</v>
      </c>
      <c r="AH202" s="174"/>
      <c r="AI202" s="174"/>
      <c r="AJ202" s="174"/>
      <c r="AK202" s="174"/>
      <c r="AL202" s="174"/>
    </row>
    <row r="203" spans="1:38" s="45" customFormat="1">
      <c r="A203" s="53">
        <v>4</v>
      </c>
      <c r="B203" s="60" t="s">
        <v>16</v>
      </c>
      <c r="C203" s="60">
        <v>1969</v>
      </c>
      <c r="D203" s="60" t="s">
        <v>17</v>
      </c>
      <c r="E203" s="56" t="s">
        <v>20</v>
      </c>
      <c r="F203" s="54">
        <v>1968</v>
      </c>
      <c r="G203" s="54" t="s">
        <v>21</v>
      </c>
      <c r="H203" s="54" t="s">
        <v>23</v>
      </c>
      <c r="I203" s="54"/>
      <c r="J203" s="298" t="s">
        <v>1013</v>
      </c>
      <c r="K203" s="298" t="s">
        <v>1168</v>
      </c>
      <c r="L203" s="54" t="s">
        <v>24</v>
      </c>
      <c r="M203" s="54"/>
      <c r="N203" s="54"/>
      <c r="O203" s="54" t="s">
        <v>25</v>
      </c>
      <c r="P203" s="54"/>
      <c r="Q203" s="54"/>
      <c r="R203" s="54"/>
      <c r="S203" s="54"/>
      <c r="T203" s="54"/>
      <c r="U203" s="54"/>
      <c r="V203" s="54"/>
      <c r="W203" s="54"/>
      <c r="X203" s="66" t="str">
        <f t="shared" si="9"/>
        <v/>
      </c>
      <c r="Y203" s="72">
        <v>1030</v>
      </c>
      <c r="Z203" s="192" t="str">
        <f t="shared" si="8"/>
        <v/>
      </c>
      <c r="AA203" s="198" t="str">
        <f>+K203</f>
        <v>W conifer - Hemlock</v>
      </c>
      <c r="AB203" s="198">
        <f>AVERAGE($Y$203:$Y$204)</f>
        <v>1121.5</v>
      </c>
      <c r="AC203" s="198">
        <f>MEDIAN($Y$203:$Y$204)</f>
        <v>1121.5</v>
      </c>
      <c r="AD203" s="198">
        <f>MAX($Y$203:$Y$204)</f>
        <v>1213</v>
      </c>
      <c r="AE203" s="198">
        <f>MIN($Y$203:$Y$204)</f>
        <v>1030</v>
      </c>
      <c r="AF203" s="198">
        <f>STDEV($Y$203:$Y$204)</f>
        <v>129.40054095713819</v>
      </c>
      <c r="AG203" s="198">
        <f>COUNT($Y$203:$Y$204)</f>
        <v>2</v>
      </c>
      <c r="AH203" s="172"/>
      <c r="AI203" s="172"/>
      <c r="AJ203" s="172"/>
      <c r="AK203" s="172"/>
      <c r="AL203" s="172"/>
    </row>
    <row r="204" spans="1:38" s="45" customFormat="1">
      <c r="A204" s="53">
        <v>4</v>
      </c>
      <c r="B204" s="60" t="s">
        <v>16</v>
      </c>
      <c r="C204" s="60">
        <v>1969</v>
      </c>
      <c r="D204" s="60" t="s">
        <v>17</v>
      </c>
      <c r="E204" s="56" t="s">
        <v>20</v>
      </c>
      <c r="F204" s="54">
        <v>1968</v>
      </c>
      <c r="G204" s="54" t="s">
        <v>21</v>
      </c>
      <c r="H204" s="54" t="s">
        <v>23</v>
      </c>
      <c r="I204" s="54"/>
      <c r="J204" s="298" t="s">
        <v>1013</v>
      </c>
      <c r="K204" s="298" t="s">
        <v>1168</v>
      </c>
      <c r="L204" s="54" t="s">
        <v>24</v>
      </c>
      <c r="M204" s="54"/>
      <c r="N204" s="54"/>
      <c r="O204" s="54" t="s">
        <v>26</v>
      </c>
      <c r="P204" s="54"/>
      <c r="Q204" s="54"/>
      <c r="R204" s="54"/>
      <c r="S204" s="54"/>
      <c r="T204" s="54"/>
      <c r="U204" s="54"/>
      <c r="V204" s="54"/>
      <c r="W204" s="54"/>
      <c r="X204" s="66" t="str">
        <f t="shared" si="9"/>
        <v/>
      </c>
      <c r="Y204" s="72">
        <v>1213</v>
      </c>
      <c r="Z204" s="192" t="str">
        <f t="shared" si="8"/>
        <v/>
      </c>
      <c r="AA204" s="198" t="str">
        <f>+K205</f>
        <v>W conifer - western larch, pine slash</v>
      </c>
      <c r="AB204" s="198">
        <f>AVERAGE($Y$205:$Y$206)</f>
        <v>1564</v>
      </c>
      <c r="AC204" s="198">
        <f>MEDIAN($Y$205:$Y$206)</f>
        <v>1564</v>
      </c>
      <c r="AD204" s="198">
        <f>MAX($Y$205:$Y$206)</f>
        <v>1570</v>
      </c>
      <c r="AE204" s="198">
        <f>MIN($Y$205:$Y$206)</f>
        <v>1558</v>
      </c>
      <c r="AF204" s="198">
        <f>STDEV($Y$205:$Y$206)</f>
        <v>8.4852813742385695</v>
      </c>
      <c r="AG204" s="198">
        <f>COUNT($Y$205:$Y$206)</f>
        <v>2</v>
      </c>
      <c r="AH204" s="172"/>
      <c r="AI204" s="172"/>
      <c r="AJ204" s="172"/>
      <c r="AK204" s="172"/>
      <c r="AL204" s="172"/>
    </row>
    <row r="205" spans="1:38" s="107" customFormat="1">
      <c r="A205" s="97">
        <v>121</v>
      </c>
      <c r="B205" s="103" t="s">
        <v>427</v>
      </c>
      <c r="C205" s="103">
        <v>2002</v>
      </c>
      <c r="D205" s="103" t="s">
        <v>428</v>
      </c>
      <c r="E205" s="99" t="s">
        <v>430</v>
      </c>
      <c r="F205" s="98">
        <v>2002</v>
      </c>
      <c r="G205" s="98" t="s">
        <v>466</v>
      </c>
      <c r="H205" s="98" t="s">
        <v>159</v>
      </c>
      <c r="I205" s="98"/>
      <c r="J205" s="98" t="s">
        <v>1013</v>
      </c>
      <c r="K205" s="98" t="s">
        <v>1162</v>
      </c>
      <c r="L205" s="98" t="s">
        <v>462</v>
      </c>
      <c r="M205" s="109" t="s">
        <v>467</v>
      </c>
      <c r="N205" s="109" t="s">
        <v>468</v>
      </c>
      <c r="O205" s="98" t="s">
        <v>469</v>
      </c>
      <c r="P205" s="98"/>
      <c r="Q205" s="98"/>
      <c r="R205" s="98"/>
      <c r="S205" s="98"/>
      <c r="T205" s="98"/>
      <c r="U205" s="98"/>
      <c r="V205" s="98"/>
      <c r="W205" s="98"/>
      <c r="X205" s="101" t="str">
        <f t="shared" si="9"/>
        <v/>
      </c>
      <c r="Y205" s="111">
        <v>1558</v>
      </c>
      <c r="Z205" s="106" t="str">
        <f t="shared" si="8"/>
        <v/>
      </c>
      <c r="AA205" s="198" t="str">
        <f>+K207</f>
        <v>W conifer - white pine litter</v>
      </c>
      <c r="AB205" s="198">
        <f>+$Y$207</f>
        <v>1677.4</v>
      </c>
      <c r="AC205" s="198">
        <f t="shared" ref="AC205" si="10">+$Y$207</f>
        <v>1677.4</v>
      </c>
      <c r="AD205" s="198"/>
      <c r="AE205" s="198"/>
      <c r="AF205" s="198"/>
      <c r="AG205" s="198">
        <f>COUNT(+$Y$207)</f>
        <v>1</v>
      </c>
      <c r="AH205" s="174"/>
      <c r="AI205" s="174"/>
      <c r="AJ205" s="174"/>
      <c r="AK205" s="174"/>
      <c r="AL205" s="174"/>
    </row>
    <row r="206" spans="1:38" s="107" customFormat="1">
      <c r="A206" s="97">
        <v>121</v>
      </c>
      <c r="B206" s="103" t="s">
        <v>427</v>
      </c>
      <c r="C206" s="103">
        <v>2002</v>
      </c>
      <c r="D206" s="103" t="s">
        <v>428</v>
      </c>
      <c r="E206" s="99" t="s">
        <v>430</v>
      </c>
      <c r="F206" s="98">
        <v>2002</v>
      </c>
      <c r="G206" s="98" t="s">
        <v>461</v>
      </c>
      <c r="H206" s="98"/>
      <c r="I206" s="98"/>
      <c r="J206" s="98" t="s">
        <v>1013</v>
      </c>
      <c r="K206" s="98" t="s">
        <v>1162</v>
      </c>
      <c r="L206" s="98" t="s">
        <v>462</v>
      </c>
      <c r="M206" s="98" t="s">
        <v>463</v>
      </c>
      <c r="N206" s="98" t="s">
        <v>464</v>
      </c>
      <c r="O206" s="98" t="s">
        <v>465</v>
      </c>
      <c r="P206" s="98"/>
      <c r="Q206" s="98"/>
      <c r="R206" s="98"/>
      <c r="S206" s="98"/>
      <c r="T206" s="98"/>
      <c r="U206" s="98"/>
      <c r="V206" s="98"/>
      <c r="W206" s="98"/>
      <c r="X206" s="101" t="str">
        <f t="shared" si="9"/>
        <v/>
      </c>
      <c r="Y206" s="111">
        <v>1570</v>
      </c>
      <c r="Z206" s="106" t="str">
        <f t="shared" si="8"/>
        <v/>
      </c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</row>
    <row r="207" spans="1:38" s="45" customFormat="1">
      <c r="A207" s="53">
        <v>197</v>
      </c>
      <c r="B207" s="73" t="s">
        <v>875</v>
      </c>
      <c r="C207" s="54">
        <v>2007</v>
      </c>
      <c r="D207" s="73" t="s">
        <v>928</v>
      </c>
      <c r="E207" s="56" t="s">
        <v>20</v>
      </c>
      <c r="F207" s="54">
        <v>2003</v>
      </c>
      <c r="G207" s="54" t="s">
        <v>326</v>
      </c>
      <c r="H207" s="54" t="s">
        <v>159</v>
      </c>
      <c r="I207" s="54"/>
      <c r="J207" s="172" t="s">
        <v>1013</v>
      </c>
      <c r="K207" s="54" t="s">
        <v>1112</v>
      </c>
      <c r="L207" s="54" t="s">
        <v>924</v>
      </c>
      <c r="M207" s="54"/>
      <c r="N207" s="54"/>
      <c r="O207" s="54" t="s">
        <v>932</v>
      </c>
      <c r="P207" s="54">
        <v>0.98</v>
      </c>
      <c r="Q207" s="54">
        <v>0.8</v>
      </c>
      <c r="R207" s="54">
        <v>0.93</v>
      </c>
      <c r="S207" s="54">
        <v>0.99</v>
      </c>
      <c r="T207" s="54">
        <v>0.85</v>
      </c>
      <c r="U207" s="54">
        <v>0.96</v>
      </c>
      <c r="V207" s="54">
        <v>1758.5</v>
      </c>
      <c r="W207" s="54">
        <v>1445</v>
      </c>
      <c r="X207" s="66">
        <f t="shared" si="9"/>
        <v>0.93</v>
      </c>
      <c r="Y207" s="72">
        <v>1677.4</v>
      </c>
      <c r="Z207" s="192" t="str">
        <f t="shared" si="8"/>
        <v>F</v>
      </c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</row>
    <row r="208" spans="1:38" s="45" customFormat="1"/>
    <row r="209" s="45" customFormat="1"/>
    <row r="210" s="45" customFormat="1"/>
    <row r="211" s="45" customFormat="1"/>
    <row r="212" s="45" customFormat="1"/>
    <row r="213" s="45" customFormat="1"/>
    <row r="214" s="45" customFormat="1"/>
  </sheetData>
  <sortState ref="A53:AL134">
    <sortCondition ref="K53:K134"/>
    <sortCondition ref="X53:X134"/>
    <sortCondition ref="Z53:Z134"/>
  </sortState>
  <dataValidations disablePrompts="1" count="1">
    <dataValidation showInputMessage="1" showErrorMessage="1" sqref="A1"/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workbookViewId="0">
      <selection activeCell="AA2" sqref="AA2:AG7"/>
    </sheetView>
  </sheetViews>
  <sheetFormatPr baseColWidth="10" defaultRowHeight="15" x14ac:dyDescent="0"/>
  <cols>
    <col min="11" max="11" width="25.1640625" bestFit="1" customWidth="1"/>
    <col min="27" max="27" width="24" customWidth="1"/>
  </cols>
  <sheetData>
    <row r="1" spans="1:38">
      <c r="A1" s="36" t="s">
        <v>0</v>
      </c>
      <c r="B1" s="36" t="s">
        <v>1</v>
      </c>
      <c r="C1" s="37" t="s">
        <v>2</v>
      </c>
      <c r="D1" s="37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1217</v>
      </c>
      <c r="W1" s="36" t="s">
        <v>1218</v>
      </c>
      <c r="X1" s="36" t="s">
        <v>1174</v>
      </c>
      <c r="Y1" s="50" t="s">
        <v>1219</v>
      </c>
      <c r="Z1" s="36" t="s">
        <v>1176</v>
      </c>
    </row>
    <row r="2" spans="1:38" s="107" customFormat="1">
      <c r="A2" s="97">
        <v>66</v>
      </c>
      <c r="B2" s="103" t="s">
        <v>45</v>
      </c>
      <c r="C2" s="103">
        <v>1989</v>
      </c>
      <c r="D2" s="103" t="s">
        <v>187</v>
      </c>
      <c r="E2" s="99" t="s">
        <v>49</v>
      </c>
      <c r="F2" s="127">
        <v>31593</v>
      </c>
      <c r="G2" s="98" t="s">
        <v>190</v>
      </c>
      <c r="H2" s="98" t="s">
        <v>146</v>
      </c>
      <c r="I2" s="98"/>
      <c r="J2" s="98" t="s">
        <v>1034</v>
      </c>
      <c r="K2" s="98" t="s">
        <v>166</v>
      </c>
      <c r="L2" s="98" t="s">
        <v>166</v>
      </c>
      <c r="M2" s="98"/>
      <c r="N2" s="98"/>
      <c r="O2" s="98" t="s">
        <v>191</v>
      </c>
      <c r="P2" s="98"/>
      <c r="Q2" s="98"/>
      <c r="R2" s="98"/>
      <c r="S2" s="98"/>
      <c r="T2" s="98"/>
      <c r="U2" s="98"/>
      <c r="V2" s="98"/>
      <c r="W2" s="98"/>
      <c r="X2" s="101" t="str">
        <f t="shared" ref="X2:X33" si="0">IF(R2&lt;&gt;0,IF(R2&gt;1,R2/100,R2),IF(U2&lt;&gt;0,IF(U2&gt;1,U2/100,U2),""))</f>
        <v/>
      </c>
      <c r="Y2" s="111">
        <v>1654</v>
      </c>
      <c r="Z2" s="106" t="s">
        <v>1192</v>
      </c>
      <c r="AA2" s="188"/>
      <c r="AB2" s="188" t="s">
        <v>1206</v>
      </c>
      <c r="AC2" s="188" t="s">
        <v>1207</v>
      </c>
      <c r="AD2" s="188" t="s">
        <v>1208</v>
      </c>
      <c r="AE2" s="188" t="s">
        <v>1209</v>
      </c>
      <c r="AF2" s="188" t="s">
        <v>1210</v>
      </c>
      <c r="AG2" s="188" t="s">
        <v>1211</v>
      </c>
      <c r="AH2" s="174"/>
      <c r="AI2" s="174"/>
      <c r="AJ2" s="174"/>
      <c r="AK2" s="174"/>
      <c r="AL2" s="174"/>
    </row>
    <row r="3" spans="1:38" s="107" customFormat="1">
      <c r="A3" s="97">
        <v>86</v>
      </c>
      <c r="B3" s="103" t="s">
        <v>223</v>
      </c>
      <c r="C3" s="103">
        <v>1991</v>
      </c>
      <c r="D3" s="103" t="s">
        <v>224</v>
      </c>
      <c r="E3" s="99" t="s">
        <v>20</v>
      </c>
      <c r="F3" s="127">
        <v>33008</v>
      </c>
      <c r="G3" s="98" t="s">
        <v>227</v>
      </c>
      <c r="H3" s="98" t="s">
        <v>146</v>
      </c>
      <c r="I3" s="98"/>
      <c r="J3" s="98" t="s">
        <v>1034</v>
      </c>
      <c r="K3" s="98" t="s">
        <v>1065</v>
      </c>
      <c r="L3" s="98" t="s">
        <v>228</v>
      </c>
      <c r="M3" s="98" t="s">
        <v>229</v>
      </c>
      <c r="N3" s="98"/>
      <c r="O3" s="98">
        <v>28</v>
      </c>
      <c r="P3" s="98"/>
      <c r="Q3" s="98"/>
      <c r="R3" s="98"/>
      <c r="S3" s="98"/>
      <c r="T3" s="98"/>
      <c r="U3" s="98"/>
      <c r="V3" s="98"/>
      <c r="W3" s="98"/>
      <c r="X3" s="101" t="str">
        <f t="shared" si="0"/>
        <v/>
      </c>
      <c r="Y3" s="111">
        <v>1250.3</v>
      </c>
      <c r="Z3" s="106" t="str">
        <f t="shared" ref="Z3:Z15" si="1">IF(X3&lt;&gt;"",IF(X3&lt;0.9,"S","F"),"")</f>
        <v/>
      </c>
      <c r="AA3" s="188" t="str">
        <f>+K3</f>
        <v>Chaparral - ceanothus</v>
      </c>
      <c r="AB3" s="190">
        <f>AVERAGE($Y$3:$Y$17)</f>
        <v>1498.9866666666669</v>
      </c>
      <c r="AC3" s="190">
        <f>MEDIAN($Y$3:$Y$17)</f>
        <v>1511.2</v>
      </c>
      <c r="AD3" s="190">
        <f>MAX($Y$3:$Y$17)</f>
        <v>1762</v>
      </c>
      <c r="AE3" s="190">
        <f>MIN($Y$3:$Y$17)</f>
        <v>1250.3</v>
      </c>
      <c r="AF3" s="190">
        <f>STDEV($Y$3:$Y$17)</f>
        <v>154.97171108978321</v>
      </c>
      <c r="AG3" s="190">
        <f>COUNT($Y$3:$Y$17)</f>
        <v>15</v>
      </c>
      <c r="AH3" s="174"/>
      <c r="AI3" s="174"/>
      <c r="AJ3" s="174"/>
      <c r="AK3" s="174"/>
      <c r="AL3" s="174"/>
    </row>
    <row r="4" spans="1:38" s="107" customFormat="1">
      <c r="A4" s="97">
        <v>86</v>
      </c>
      <c r="B4" s="103" t="s">
        <v>223</v>
      </c>
      <c r="C4" s="103">
        <v>1991</v>
      </c>
      <c r="D4" s="103" t="s">
        <v>224</v>
      </c>
      <c r="E4" s="99" t="s">
        <v>20</v>
      </c>
      <c r="F4" s="127">
        <v>33008</v>
      </c>
      <c r="G4" s="98" t="s">
        <v>227</v>
      </c>
      <c r="H4" s="98" t="s">
        <v>146</v>
      </c>
      <c r="I4" s="98"/>
      <c r="J4" s="98" t="s">
        <v>1034</v>
      </c>
      <c r="K4" s="98" t="s">
        <v>1065</v>
      </c>
      <c r="L4" s="98" t="s">
        <v>228</v>
      </c>
      <c r="M4" s="98" t="s">
        <v>229</v>
      </c>
      <c r="N4" s="98"/>
      <c r="O4" s="98">
        <v>25</v>
      </c>
      <c r="P4" s="98"/>
      <c r="Q4" s="98"/>
      <c r="R4" s="98"/>
      <c r="S4" s="98"/>
      <c r="T4" s="98"/>
      <c r="U4" s="98"/>
      <c r="V4" s="98"/>
      <c r="W4" s="98"/>
      <c r="X4" s="101" t="str">
        <f t="shared" si="0"/>
        <v/>
      </c>
      <c r="Y4" s="111">
        <v>1274</v>
      </c>
      <c r="Z4" s="106" t="str">
        <f t="shared" si="1"/>
        <v/>
      </c>
      <c r="AA4" s="188" t="str">
        <f>+K18</f>
        <v>Chaparral - chamise</v>
      </c>
      <c r="AB4" s="190">
        <f>AVERAGE($Y$19:$Y$38)</f>
        <v>1654.5</v>
      </c>
      <c r="AC4" s="190">
        <f>MEDIAN($Y$19:$Y$38)</f>
        <v>1656.75</v>
      </c>
      <c r="AD4" s="190">
        <f>MAX($Y$19:$Y$38)</f>
        <v>1876</v>
      </c>
      <c r="AE4" s="190">
        <f>MIN($Y$19:$Y$38)</f>
        <v>1512.1</v>
      </c>
      <c r="AF4" s="190">
        <f>STDEV($Y$19:$Y$38)</f>
        <v>87.588451533893817</v>
      </c>
      <c r="AG4" s="190">
        <f>COUNT($Y$19:$Y$38)</f>
        <v>20</v>
      </c>
      <c r="AH4" s="174"/>
      <c r="AI4" s="174"/>
      <c r="AJ4" s="174"/>
      <c r="AK4" s="174"/>
      <c r="AL4" s="174"/>
    </row>
    <row r="5" spans="1:38" s="107" customFormat="1">
      <c r="A5" s="97">
        <v>86</v>
      </c>
      <c r="B5" s="103" t="s">
        <v>223</v>
      </c>
      <c r="C5" s="103">
        <v>1991</v>
      </c>
      <c r="D5" s="103" t="s">
        <v>224</v>
      </c>
      <c r="E5" s="99" t="s">
        <v>20</v>
      </c>
      <c r="F5" s="127">
        <v>33009</v>
      </c>
      <c r="G5" s="98" t="s">
        <v>227</v>
      </c>
      <c r="H5" s="98" t="s">
        <v>146</v>
      </c>
      <c r="I5" s="98"/>
      <c r="J5" s="98" t="s">
        <v>1034</v>
      </c>
      <c r="K5" s="98" t="s">
        <v>1065</v>
      </c>
      <c r="L5" s="98" t="s">
        <v>228</v>
      </c>
      <c r="M5" s="98" t="s">
        <v>229</v>
      </c>
      <c r="N5" s="98"/>
      <c r="O5" s="98">
        <v>31</v>
      </c>
      <c r="P5" s="98"/>
      <c r="Q5" s="98"/>
      <c r="R5" s="98"/>
      <c r="S5" s="98"/>
      <c r="T5" s="98"/>
      <c r="U5" s="98"/>
      <c r="V5" s="98"/>
      <c r="W5" s="98"/>
      <c r="X5" s="101" t="str">
        <f t="shared" si="0"/>
        <v/>
      </c>
      <c r="Y5" s="111">
        <v>1337.7</v>
      </c>
      <c r="Z5" s="106" t="str">
        <f t="shared" si="1"/>
        <v/>
      </c>
      <c r="AA5" s="188" t="str">
        <f>+K41</f>
        <v>Chaparral - coastal sage scrub</v>
      </c>
      <c r="AB5" s="190">
        <f>AVERAGE($Y$41:$Y$53)</f>
        <v>1514.7846153846153</v>
      </c>
      <c r="AC5" s="190">
        <f>MEDIAN($Y$41:$Y$53)</f>
        <v>1497</v>
      </c>
      <c r="AD5" s="190">
        <f>MAX($Y$41:$Y$53)</f>
        <v>1717.7</v>
      </c>
      <c r="AE5" s="190">
        <f>MIN($Y$41:$Y$53)</f>
        <v>1247.7</v>
      </c>
      <c r="AF5" s="190">
        <f>STDEV($Y$41:$Y$53)</f>
        <v>149.77604306738471</v>
      </c>
      <c r="AG5" s="190">
        <f>COUNT($Y$41:$Y$53)</f>
        <v>13</v>
      </c>
      <c r="AH5" s="174"/>
      <c r="AI5" s="174"/>
      <c r="AJ5" s="174"/>
      <c r="AK5" s="174"/>
      <c r="AL5" s="174"/>
    </row>
    <row r="6" spans="1:38" s="107" customFormat="1">
      <c r="A6" s="97">
        <v>86</v>
      </c>
      <c r="B6" s="103" t="s">
        <v>223</v>
      </c>
      <c r="C6" s="103">
        <v>1991</v>
      </c>
      <c r="D6" s="103" t="s">
        <v>224</v>
      </c>
      <c r="E6" s="99" t="s">
        <v>20</v>
      </c>
      <c r="F6" s="127">
        <v>33093</v>
      </c>
      <c r="G6" s="98" t="s">
        <v>227</v>
      </c>
      <c r="H6" s="98" t="s">
        <v>146</v>
      </c>
      <c r="I6" s="98"/>
      <c r="J6" s="98" t="s">
        <v>1034</v>
      </c>
      <c r="K6" s="98" t="s">
        <v>1065</v>
      </c>
      <c r="L6" s="98" t="s">
        <v>228</v>
      </c>
      <c r="M6" s="98" t="s">
        <v>229</v>
      </c>
      <c r="N6" s="98"/>
      <c r="O6" s="98">
        <v>37</v>
      </c>
      <c r="P6" s="98"/>
      <c r="Q6" s="98"/>
      <c r="R6" s="98"/>
      <c r="S6" s="98"/>
      <c r="T6" s="98"/>
      <c r="U6" s="98"/>
      <c r="V6" s="98"/>
      <c r="W6" s="98"/>
      <c r="X6" s="101" t="str">
        <f t="shared" si="0"/>
        <v/>
      </c>
      <c r="Y6" s="111">
        <v>1344</v>
      </c>
      <c r="Z6" s="106" t="str">
        <f t="shared" si="1"/>
        <v/>
      </c>
      <c r="AA6" s="188" t="str">
        <f>+K54</f>
        <v>Chaparral - manzanita</v>
      </c>
      <c r="AB6" s="190">
        <f>AVERAGE($Y$54:$Y$66)</f>
        <v>1471.1</v>
      </c>
      <c r="AC6" s="190">
        <f>MEDIAN($Y$54:$Y$66)</f>
        <v>1451.9</v>
      </c>
      <c r="AD6" s="190">
        <f>MAX($Y$54:$Y$66)</f>
        <v>1837</v>
      </c>
      <c r="AE6" s="190">
        <f>MIN($Y$54:$Y$66)</f>
        <v>1174</v>
      </c>
      <c r="AF6" s="190">
        <f>STDEV($Y$54:$Y$66)</f>
        <v>147.26121349493221</v>
      </c>
      <c r="AG6" s="190">
        <f>COUNT($Y$54:$Y$66)</f>
        <v>13</v>
      </c>
      <c r="AH6" s="174"/>
      <c r="AI6" s="174"/>
      <c r="AJ6" s="174"/>
      <c r="AK6" s="174"/>
      <c r="AL6" s="174"/>
    </row>
    <row r="7" spans="1:38" s="107" customFormat="1">
      <c r="A7" s="97">
        <v>86</v>
      </c>
      <c r="B7" s="103" t="s">
        <v>223</v>
      </c>
      <c r="C7" s="103">
        <v>1991</v>
      </c>
      <c r="D7" s="103" t="s">
        <v>224</v>
      </c>
      <c r="E7" s="99" t="s">
        <v>20</v>
      </c>
      <c r="F7" s="127">
        <v>32961</v>
      </c>
      <c r="G7" s="98" t="s">
        <v>227</v>
      </c>
      <c r="H7" s="98" t="s">
        <v>146</v>
      </c>
      <c r="I7" s="98"/>
      <c r="J7" s="98" t="s">
        <v>1034</v>
      </c>
      <c r="K7" s="98" t="s">
        <v>1065</v>
      </c>
      <c r="L7" s="98" t="s">
        <v>228</v>
      </c>
      <c r="M7" s="98" t="s">
        <v>229</v>
      </c>
      <c r="N7" s="98"/>
      <c r="O7" s="98">
        <v>14</v>
      </c>
      <c r="P7" s="98"/>
      <c r="Q7" s="98"/>
      <c r="R7" s="98"/>
      <c r="S7" s="98"/>
      <c r="T7" s="98"/>
      <c r="U7" s="98"/>
      <c r="V7" s="98"/>
      <c r="W7" s="98"/>
      <c r="X7" s="101" t="str">
        <f t="shared" si="0"/>
        <v/>
      </c>
      <c r="Y7" s="111">
        <v>1440.2</v>
      </c>
      <c r="Z7" s="106" t="str">
        <f t="shared" si="1"/>
        <v/>
      </c>
      <c r="AA7" s="174" t="s">
        <v>1221</v>
      </c>
      <c r="AB7" s="174"/>
      <c r="AC7" s="174"/>
      <c r="AD7" s="174"/>
      <c r="AH7" s="174"/>
      <c r="AI7" s="174"/>
      <c r="AJ7" s="174"/>
      <c r="AK7" s="174"/>
      <c r="AL7" s="174"/>
    </row>
    <row r="8" spans="1:38" s="107" customFormat="1">
      <c r="A8" s="97">
        <v>86</v>
      </c>
      <c r="B8" s="103" t="s">
        <v>223</v>
      </c>
      <c r="C8" s="103">
        <v>1991</v>
      </c>
      <c r="D8" s="103" t="s">
        <v>224</v>
      </c>
      <c r="E8" s="99" t="s">
        <v>20</v>
      </c>
      <c r="F8" s="127">
        <v>32961</v>
      </c>
      <c r="G8" s="98" t="s">
        <v>227</v>
      </c>
      <c r="H8" s="98" t="s">
        <v>146</v>
      </c>
      <c r="I8" s="98"/>
      <c r="J8" s="98" t="s">
        <v>1034</v>
      </c>
      <c r="K8" s="98" t="s">
        <v>1065</v>
      </c>
      <c r="L8" s="98" t="s">
        <v>228</v>
      </c>
      <c r="M8" s="98" t="s">
        <v>229</v>
      </c>
      <c r="N8" s="98"/>
      <c r="O8" s="98">
        <v>18</v>
      </c>
      <c r="P8" s="98"/>
      <c r="Q8" s="98"/>
      <c r="R8" s="98"/>
      <c r="S8" s="98"/>
      <c r="T8" s="98"/>
      <c r="U8" s="98"/>
      <c r="V8" s="98"/>
      <c r="W8" s="98"/>
      <c r="X8" s="101" t="str">
        <f t="shared" si="0"/>
        <v/>
      </c>
      <c r="Y8" s="111">
        <v>1451.2</v>
      </c>
      <c r="Z8" s="106" t="str">
        <f t="shared" si="1"/>
        <v/>
      </c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</row>
    <row r="9" spans="1:38" s="107" customFormat="1">
      <c r="A9" s="97">
        <v>86</v>
      </c>
      <c r="B9" s="103" t="s">
        <v>223</v>
      </c>
      <c r="C9" s="103">
        <v>1991</v>
      </c>
      <c r="D9" s="103" t="s">
        <v>224</v>
      </c>
      <c r="E9" s="99" t="s">
        <v>20</v>
      </c>
      <c r="F9" s="127">
        <v>33093</v>
      </c>
      <c r="G9" s="98" t="s">
        <v>227</v>
      </c>
      <c r="H9" s="98" t="s">
        <v>146</v>
      </c>
      <c r="I9" s="98"/>
      <c r="J9" s="98" t="s">
        <v>1034</v>
      </c>
      <c r="K9" s="98" t="s">
        <v>1065</v>
      </c>
      <c r="L9" s="98" t="s">
        <v>228</v>
      </c>
      <c r="M9" s="98" t="s">
        <v>229</v>
      </c>
      <c r="N9" s="98"/>
      <c r="O9" s="98">
        <v>40</v>
      </c>
      <c r="P9" s="98"/>
      <c r="Q9" s="98"/>
      <c r="R9" s="98"/>
      <c r="S9" s="98"/>
      <c r="T9" s="98"/>
      <c r="U9" s="98"/>
      <c r="V9" s="98"/>
      <c r="W9" s="98"/>
      <c r="X9" s="101" t="str">
        <f t="shared" si="0"/>
        <v/>
      </c>
      <c r="Y9" s="111">
        <v>1484.7</v>
      </c>
      <c r="Z9" s="106" t="str">
        <f t="shared" si="1"/>
        <v/>
      </c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</row>
    <row r="10" spans="1:38" s="107" customFormat="1">
      <c r="A10" s="97">
        <v>86</v>
      </c>
      <c r="B10" s="103" t="s">
        <v>223</v>
      </c>
      <c r="C10" s="103">
        <v>1991</v>
      </c>
      <c r="D10" s="103" t="s">
        <v>224</v>
      </c>
      <c r="E10" s="99" t="s">
        <v>20</v>
      </c>
      <c r="F10" s="127">
        <v>33093</v>
      </c>
      <c r="G10" s="98" t="s">
        <v>227</v>
      </c>
      <c r="H10" s="98" t="s">
        <v>146</v>
      </c>
      <c r="I10" s="98"/>
      <c r="J10" s="98" t="s">
        <v>1034</v>
      </c>
      <c r="K10" s="98" t="s">
        <v>1065</v>
      </c>
      <c r="L10" s="98" t="s">
        <v>228</v>
      </c>
      <c r="M10" s="98" t="s">
        <v>229</v>
      </c>
      <c r="N10" s="98"/>
      <c r="O10" s="98">
        <v>42</v>
      </c>
      <c r="P10" s="98"/>
      <c r="Q10" s="98"/>
      <c r="R10" s="98"/>
      <c r="S10" s="98"/>
      <c r="T10" s="98"/>
      <c r="U10" s="98"/>
      <c r="V10" s="98"/>
      <c r="W10" s="98"/>
      <c r="X10" s="101" t="str">
        <f t="shared" si="0"/>
        <v/>
      </c>
      <c r="Y10" s="111">
        <v>1511.2</v>
      </c>
      <c r="Z10" s="106" t="str">
        <f t="shared" si="1"/>
        <v/>
      </c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</row>
    <row r="11" spans="1:38" s="107" customFormat="1">
      <c r="A11" s="97">
        <v>86</v>
      </c>
      <c r="B11" s="103" t="s">
        <v>223</v>
      </c>
      <c r="C11" s="103">
        <v>1991</v>
      </c>
      <c r="D11" s="103" t="s">
        <v>224</v>
      </c>
      <c r="E11" s="99" t="s">
        <v>20</v>
      </c>
      <c r="F11" s="127">
        <v>32961</v>
      </c>
      <c r="G11" s="98" t="s">
        <v>227</v>
      </c>
      <c r="H11" s="98" t="s">
        <v>146</v>
      </c>
      <c r="I11" s="98"/>
      <c r="J11" s="98" t="s">
        <v>1034</v>
      </c>
      <c r="K11" s="98" t="s">
        <v>1065</v>
      </c>
      <c r="L11" s="98" t="s">
        <v>228</v>
      </c>
      <c r="M11" s="98" t="s">
        <v>229</v>
      </c>
      <c r="N11" s="98"/>
      <c r="O11" s="98">
        <v>12</v>
      </c>
      <c r="P11" s="98"/>
      <c r="Q11" s="98"/>
      <c r="R11" s="98"/>
      <c r="S11" s="98"/>
      <c r="T11" s="98"/>
      <c r="U11" s="98"/>
      <c r="V11" s="98"/>
      <c r="W11" s="98"/>
      <c r="X11" s="101" t="str">
        <f t="shared" si="0"/>
        <v/>
      </c>
      <c r="Y11" s="111">
        <v>1513.5</v>
      </c>
      <c r="Z11" s="106" t="str">
        <f t="shared" si="1"/>
        <v/>
      </c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</row>
    <row r="12" spans="1:38" s="107" customFormat="1">
      <c r="A12" s="97">
        <v>86</v>
      </c>
      <c r="B12" s="103" t="s">
        <v>223</v>
      </c>
      <c r="C12" s="103">
        <v>1991</v>
      </c>
      <c r="D12" s="103" t="s">
        <v>224</v>
      </c>
      <c r="E12" s="99" t="s">
        <v>20</v>
      </c>
      <c r="F12" s="127">
        <v>32857</v>
      </c>
      <c r="G12" s="98" t="s">
        <v>227</v>
      </c>
      <c r="H12" s="98" t="s">
        <v>146</v>
      </c>
      <c r="I12" s="98"/>
      <c r="J12" s="98" t="s">
        <v>1034</v>
      </c>
      <c r="K12" s="98" t="s">
        <v>1065</v>
      </c>
      <c r="L12" s="98" t="s">
        <v>228</v>
      </c>
      <c r="M12" s="98" t="s">
        <v>229</v>
      </c>
      <c r="N12" s="98"/>
      <c r="O12" s="98">
        <v>1</v>
      </c>
      <c r="P12" s="98"/>
      <c r="Q12" s="98"/>
      <c r="R12" s="98"/>
      <c r="S12" s="98"/>
      <c r="T12" s="98"/>
      <c r="U12" s="98"/>
      <c r="V12" s="98"/>
      <c r="W12" s="98"/>
      <c r="X12" s="101" t="str">
        <f t="shared" si="0"/>
        <v/>
      </c>
      <c r="Y12" s="111">
        <v>1519</v>
      </c>
      <c r="Z12" s="106" t="str">
        <f t="shared" si="1"/>
        <v/>
      </c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</row>
    <row r="13" spans="1:38" s="107" customFormat="1">
      <c r="A13" s="97">
        <v>86</v>
      </c>
      <c r="B13" s="103" t="s">
        <v>223</v>
      </c>
      <c r="C13" s="103">
        <v>1991</v>
      </c>
      <c r="D13" s="103" t="s">
        <v>224</v>
      </c>
      <c r="E13" s="99" t="s">
        <v>20</v>
      </c>
      <c r="F13" s="127">
        <v>32857</v>
      </c>
      <c r="G13" s="98" t="s">
        <v>227</v>
      </c>
      <c r="H13" s="98" t="s">
        <v>146</v>
      </c>
      <c r="I13" s="98"/>
      <c r="J13" s="98" t="s">
        <v>1034</v>
      </c>
      <c r="K13" s="98" t="s">
        <v>1065</v>
      </c>
      <c r="L13" s="98" t="s">
        <v>228</v>
      </c>
      <c r="M13" s="98" t="s">
        <v>229</v>
      </c>
      <c r="N13" s="98"/>
      <c r="O13" s="98">
        <v>6</v>
      </c>
      <c r="P13" s="98"/>
      <c r="Q13" s="98"/>
      <c r="R13" s="98"/>
      <c r="S13" s="98"/>
      <c r="T13" s="98"/>
      <c r="U13" s="98"/>
      <c r="V13" s="98"/>
      <c r="W13" s="98"/>
      <c r="X13" s="101" t="str">
        <f t="shared" si="0"/>
        <v/>
      </c>
      <c r="Y13" s="111">
        <v>1659</v>
      </c>
      <c r="Z13" s="106" t="str">
        <f t="shared" si="1"/>
        <v/>
      </c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</row>
    <row r="14" spans="1:38" s="107" customFormat="1">
      <c r="A14" s="97">
        <v>174</v>
      </c>
      <c r="B14" s="98" t="s">
        <v>697</v>
      </c>
      <c r="C14" s="98">
        <v>2009</v>
      </c>
      <c r="D14" s="108" t="s">
        <v>698</v>
      </c>
      <c r="E14" s="99" t="s">
        <v>20</v>
      </c>
      <c r="F14" s="100" t="s">
        <v>701</v>
      </c>
      <c r="G14" s="98" t="s">
        <v>718</v>
      </c>
      <c r="H14" s="98" t="s">
        <v>146</v>
      </c>
      <c r="I14" s="98"/>
      <c r="J14" s="174" t="s">
        <v>1034</v>
      </c>
      <c r="K14" s="98" t="s">
        <v>1065</v>
      </c>
      <c r="L14" s="98" t="s">
        <v>740</v>
      </c>
      <c r="M14" s="109"/>
      <c r="N14" s="109"/>
      <c r="O14" s="98" t="s">
        <v>228</v>
      </c>
      <c r="P14" s="103"/>
      <c r="Q14" s="103"/>
      <c r="R14" s="98"/>
      <c r="S14" s="98"/>
      <c r="T14" s="98"/>
      <c r="U14" s="104">
        <v>0.91300000000000003</v>
      </c>
      <c r="V14" s="175"/>
      <c r="W14" s="175"/>
      <c r="X14" s="101">
        <f t="shared" si="0"/>
        <v>0.91300000000000003</v>
      </c>
      <c r="Y14" s="221">
        <v>1623</v>
      </c>
      <c r="Z14" s="106" t="str">
        <f t="shared" si="1"/>
        <v>F</v>
      </c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</row>
    <row r="15" spans="1:38" s="107" customFormat="1">
      <c r="A15" s="97">
        <v>172</v>
      </c>
      <c r="B15" s="98" t="s">
        <v>585</v>
      </c>
      <c r="C15" s="98">
        <v>2010</v>
      </c>
      <c r="D15" s="98" t="s">
        <v>586</v>
      </c>
      <c r="E15" s="99" t="s">
        <v>589</v>
      </c>
      <c r="F15" s="100">
        <v>40218</v>
      </c>
      <c r="G15" s="98" t="s">
        <v>590</v>
      </c>
      <c r="H15" s="98" t="s">
        <v>146</v>
      </c>
      <c r="I15" s="98"/>
      <c r="J15" s="101" t="s">
        <v>1034</v>
      </c>
      <c r="K15" s="98" t="s">
        <v>1065</v>
      </c>
      <c r="L15" s="98" t="s">
        <v>591</v>
      </c>
      <c r="M15" s="109" t="s">
        <v>592</v>
      </c>
      <c r="N15" s="109"/>
      <c r="O15" s="98"/>
      <c r="P15" s="98"/>
      <c r="Q15" s="98"/>
      <c r="R15" s="98"/>
      <c r="S15" s="98"/>
      <c r="T15" s="98"/>
      <c r="U15" s="103">
        <v>0.94599999999999995</v>
      </c>
      <c r="V15" s="103"/>
      <c r="W15" s="103"/>
      <c r="X15" s="101">
        <f t="shared" si="0"/>
        <v>0.94599999999999995</v>
      </c>
      <c r="Y15" s="125">
        <v>1762</v>
      </c>
      <c r="Z15" s="106" t="str">
        <f t="shared" si="1"/>
        <v>F</v>
      </c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</row>
    <row r="16" spans="1:38" s="107" customFormat="1">
      <c r="A16" s="97">
        <v>66</v>
      </c>
      <c r="B16" s="103" t="s">
        <v>45</v>
      </c>
      <c r="C16" s="103">
        <v>1989</v>
      </c>
      <c r="D16" s="103" t="s">
        <v>187</v>
      </c>
      <c r="E16" s="99" t="s">
        <v>49</v>
      </c>
      <c r="F16" s="98" t="s">
        <v>195</v>
      </c>
      <c r="G16" s="98" t="s">
        <v>190</v>
      </c>
      <c r="H16" s="98" t="s">
        <v>146</v>
      </c>
      <c r="I16" s="98"/>
      <c r="J16" s="98" t="s">
        <v>1034</v>
      </c>
      <c r="K16" s="98" t="s">
        <v>1065</v>
      </c>
      <c r="L16" s="98" t="s">
        <v>196</v>
      </c>
      <c r="M16" s="98"/>
      <c r="N16" s="98"/>
      <c r="O16" s="98" t="s">
        <v>198</v>
      </c>
      <c r="P16" s="98"/>
      <c r="Q16" s="98"/>
      <c r="R16" s="98"/>
      <c r="S16" s="98"/>
      <c r="T16" s="98"/>
      <c r="U16" s="98"/>
      <c r="V16" s="98"/>
      <c r="W16" s="98"/>
      <c r="X16" s="101" t="str">
        <f t="shared" si="0"/>
        <v/>
      </c>
      <c r="Y16" s="111">
        <v>1715</v>
      </c>
      <c r="Z16" s="106" t="s">
        <v>1192</v>
      </c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</row>
    <row r="17" spans="1:38" s="107" customFormat="1">
      <c r="A17" s="97">
        <v>66</v>
      </c>
      <c r="B17" s="103" t="s">
        <v>45</v>
      </c>
      <c r="C17" s="103">
        <v>1989</v>
      </c>
      <c r="D17" s="103" t="s">
        <v>187</v>
      </c>
      <c r="E17" s="99" t="s">
        <v>49</v>
      </c>
      <c r="F17" s="98" t="s">
        <v>195</v>
      </c>
      <c r="G17" s="98" t="s">
        <v>190</v>
      </c>
      <c r="H17" s="98" t="s">
        <v>146</v>
      </c>
      <c r="I17" s="98"/>
      <c r="J17" s="98" t="s">
        <v>1034</v>
      </c>
      <c r="K17" s="98" t="s">
        <v>1065</v>
      </c>
      <c r="L17" s="98" t="s">
        <v>196</v>
      </c>
      <c r="M17" s="98"/>
      <c r="N17" s="98"/>
      <c r="O17" s="98" t="s">
        <v>197</v>
      </c>
      <c r="P17" s="98"/>
      <c r="Q17" s="98"/>
      <c r="R17" s="98"/>
      <c r="S17" s="98"/>
      <c r="T17" s="98"/>
      <c r="U17" s="98"/>
      <c r="V17" s="98"/>
      <c r="W17" s="98"/>
      <c r="X17" s="101" t="str">
        <f t="shared" si="0"/>
        <v/>
      </c>
      <c r="Y17" s="111">
        <v>1600</v>
      </c>
      <c r="Z17" s="106" t="s">
        <v>1193</v>
      </c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</row>
    <row r="18" spans="1:38" s="107" customFormat="1">
      <c r="A18" s="97">
        <v>86</v>
      </c>
      <c r="B18" s="103" t="s">
        <v>223</v>
      </c>
      <c r="C18" s="103">
        <v>1991</v>
      </c>
      <c r="D18" s="103" t="s">
        <v>224</v>
      </c>
      <c r="E18" s="99" t="s">
        <v>20</v>
      </c>
      <c r="F18" s="127">
        <v>33093</v>
      </c>
      <c r="G18" s="98" t="s">
        <v>227</v>
      </c>
      <c r="H18" s="98" t="s">
        <v>146</v>
      </c>
      <c r="I18" s="98"/>
      <c r="J18" s="98" t="s">
        <v>1034</v>
      </c>
      <c r="K18" s="98" t="s">
        <v>1035</v>
      </c>
      <c r="L18" s="98" t="s">
        <v>232</v>
      </c>
      <c r="M18" s="98" t="s">
        <v>233</v>
      </c>
      <c r="N18" s="98"/>
      <c r="O18" s="98">
        <v>45</v>
      </c>
      <c r="P18" s="98"/>
      <c r="Q18" s="98"/>
      <c r="R18" s="98"/>
      <c r="S18" s="98"/>
      <c r="T18" s="98"/>
      <c r="U18" s="98"/>
      <c r="V18" s="98"/>
      <c r="W18" s="98"/>
      <c r="X18" s="101" t="str">
        <f t="shared" si="0"/>
        <v/>
      </c>
      <c r="Y18" s="111">
        <v>1452.8</v>
      </c>
      <c r="Z18" s="106" t="str">
        <f t="shared" ref="Z18:Z34" si="2">IF(X18&lt;&gt;"",IF(X18&lt;0.9,"S","F"),"")</f>
        <v/>
      </c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</row>
    <row r="19" spans="1:38" s="107" customFormat="1">
      <c r="A19" s="97">
        <v>86</v>
      </c>
      <c r="B19" s="103" t="s">
        <v>223</v>
      </c>
      <c r="C19" s="103">
        <v>1991</v>
      </c>
      <c r="D19" s="103" t="s">
        <v>224</v>
      </c>
      <c r="E19" s="99" t="s">
        <v>20</v>
      </c>
      <c r="F19" s="127">
        <v>33008</v>
      </c>
      <c r="G19" s="98" t="s">
        <v>227</v>
      </c>
      <c r="H19" s="98" t="s">
        <v>146</v>
      </c>
      <c r="I19" s="98"/>
      <c r="J19" s="98" t="s">
        <v>1034</v>
      </c>
      <c r="K19" s="98" t="s">
        <v>1035</v>
      </c>
      <c r="L19" s="98" t="s">
        <v>232</v>
      </c>
      <c r="M19" s="98" t="s">
        <v>233</v>
      </c>
      <c r="N19" s="98"/>
      <c r="O19" s="98">
        <v>22</v>
      </c>
      <c r="P19" s="98"/>
      <c r="Q19" s="98"/>
      <c r="R19" s="98"/>
      <c r="S19" s="98"/>
      <c r="T19" s="98"/>
      <c r="U19" s="98"/>
      <c r="V19" s="98"/>
      <c r="W19" s="98"/>
      <c r="X19" s="101" t="str">
        <f t="shared" si="0"/>
        <v/>
      </c>
      <c r="Y19" s="111">
        <v>1512.1</v>
      </c>
      <c r="Z19" s="106" t="str">
        <f t="shared" si="2"/>
        <v/>
      </c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</row>
    <row r="20" spans="1:38" s="107" customFormat="1">
      <c r="A20" s="97">
        <v>86</v>
      </c>
      <c r="B20" s="103" t="s">
        <v>223</v>
      </c>
      <c r="C20" s="103">
        <v>1991</v>
      </c>
      <c r="D20" s="103" t="s">
        <v>224</v>
      </c>
      <c r="E20" s="99" t="s">
        <v>20</v>
      </c>
      <c r="F20" s="127">
        <v>33093</v>
      </c>
      <c r="G20" s="98" t="s">
        <v>227</v>
      </c>
      <c r="H20" s="98" t="s">
        <v>146</v>
      </c>
      <c r="I20" s="98"/>
      <c r="J20" s="98" t="s">
        <v>1034</v>
      </c>
      <c r="K20" s="98" t="s">
        <v>1035</v>
      </c>
      <c r="L20" s="98" t="s">
        <v>232</v>
      </c>
      <c r="M20" s="98" t="s">
        <v>233</v>
      </c>
      <c r="N20" s="98"/>
      <c r="O20" s="98">
        <v>36</v>
      </c>
      <c r="P20" s="98"/>
      <c r="Q20" s="98"/>
      <c r="R20" s="98"/>
      <c r="S20" s="98"/>
      <c r="T20" s="98"/>
      <c r="U20" s="98"/>
      <c r="V20" s="98"/>
      <c r="W20" s="98"/>
      <c r="X20" s="101" t="str">
        <f t="shared" si="0"/>
        <v/>
      </c>
      <c r="Y20" s="111">
        <v>1516.6</v>
      </c>
      <c r="Z20" s="106" t="str">
        <f t="shared" si="2"/>
        <v/>
      </c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</row>
    <row r="21" spans="1:38" s="107" customFormat="1">
      <c r="A21" s="97">
        <v>86</v>
      </c>
      <c r="B21" s="103" t="s">
        <v>223</v>
      </c>
      <c r="C21" s="103">
        <v>1991</v>
      </c>
      <c r="D21" s="103" t="s">
        <v>224</v>
      </c>
      <c r="E21" s="99" t="s">
        <v>20</v>
      </c>
      <c r="F21" s="127">
        <v>33009</v>
      </c>
      <c r="G21" s="98" t="s">
        <v>227</v>
      </c>
      <c r="H21" s="98" t="s">
        <v>146</v>
      </c>
      <c r="I21" s="98"/>
      <c r="J21" s="98" t="s">
        <v>1034</v>
      </c>
      <c r="K21" s="98" t="s">
        <v>1035</v>
      </c>
      <c r="L21" s="98" t="s">
        <v>232</v>
      </c>
      <c r="M21" s="98" t="s">
        <v>233</v>
      </c>
      <c r="N21" s="98"/>
      <c r="O21" s="98">
        <v>33</v>
      </c>
      <c r="P21" s="98"/>
      <c r="Q21" s="98"/>
      <c r="R21" s="98"/>
      <c r="S21" s="98"/>
      <c r="T21" s="98"/>
      <c r="U21" s="98"/>
      <c r="V21" s="98"/>
      <c r="W21" s="98"/>
      <c r="X21" s="101" t="str">
        <f t="shared" si="0"/>
        <v/>
      </c>
      <c r="Y21" s="111">
        <v>1591.1</v>
      </c>
      <c r="Z21" s="106" t="str">
        <f t="shared" si="2"/>
        <v/>
      </c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</row>
    <row r="22" spans="1:38" s="107" customFormat="1">
      <c r="A22" s="97">
        <v>86</v>
      </c>
      <c r="B22" s="103" t="s">
        <v>223</v>
      </c>
      <c r="C22" s="103">
        <v>1991</v>
      </c>
      <c r="D22" s="103" t="s">
        <v>224</v>
      </c>
      <c r="E22" s="99" t="s">
        <v>20</v>
      </c>
      <c r="F22" s="127">
        <v>33009</v>
      </c>
      <c r="G22" s="98" t="s">
        <v>227</v>
      </c>
      <c r="H22" s="98" t="s">
        <v>146</v>
      </c>
      <c r="I22" s="98"/>
      <c r="J22" s="98" t="s">
        <v>1034</v>
      </c>
      <c r="K22" s="98" t="s">
        <v>1035</v>
      </c>
      <c r="L22" s="98" t="s">
        <v>232</v>
      </c>
      <c r="M22" s="98" t="s">
        <v>233</v>
      </c>
      <c r="N22" s="98"/>
      <c r="O22" s="98">
        <v>30</v>
      </c>
      <c r="P22" s="98"/>
      <c r="Q22" s="98"/>
      <c r="R22" s="98"/>
      <c r="S22" s="98"/>
      <c r="T22" s="98"/>
      <c r="U22" s="98"/>
      <c r="V22" s="98"/>
      <c r="W22" s="98"/>
      <c r="X22" s="101" t="str">
        <f t="shared" si="0"/>
        <v/>
      </c>
      <c r="Y22" s="111">
        <v>1605.9</v>
      </c>
      <c r="Z22" s="106" t="str">
        <f t="shared" si="2"/>
        <v/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07" customFormat="1">
      <c r="A23" s="97">
        <v>86</v>
      </c>
      <c r="B23" s="103" t="s">
        <v>223</v>
      </c>
      <c r="C23" s="103">
        <v>1991</v>
      </c>
      <c r="D23" s="103" t="s">
        <v>224</v>
      </c>
      <c r="E23" s="99" t="s">
        <v>20</v>
      </c>
      <c r="F23" s="127">
        <v>32961</v>
      </c>
      <c r="G23" s="98" t="s">
        <v>227</v>
      </c>
      <c r="H23" s="98" t="s">
        <v>146</v>
      </c>
      <c r="I23" s="98"/>
      <c r="J23" s="98" t="s">
        <v>1034</v>
      </c>
      <c r="K23" s="98" t="s">
        <v>1035</v>
      </c>
      <c r="L23" s="98" t="s">
        <v>232</v>
      </c>
      <c r="M23" s="98" t="s">
        <v>233</v>
      </c>
      <c r="N23" s="98"/>
      <c r="O23" s="98">
        <v>16</v>
      </c>
      <c r="P23" s="98"/>
      <c r="Q23" s="98"/>
      <c r="R23" s="98"/>
      <c r="S23" s="98"/>
      <c r="T23" s="98"/>
      <c r="U23" s="98"/>
      <c r="V23" s="98"/>
      <c r="W23" s="98"/>
      <c r="X23" s="101" t="str">
        <f t="shared" si="0"/>
        <v/>
      </c>
      <c r="Y23" s="111">
        <v>1634.5</v>
      </c>
      <c r="Z23" s="106" t="str">
        <f t="shared" si="2"/>
        <v/>
      </c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07" customFormat="1">
      <c r="A24" s="97">
        <v>86</v>
      </c>
      <c r="B24" s="103" t="s">
        <v>223</v>
      </c>
      <c r="C24" s="103">
        <v>1991</v>
      </c>
      <c r="D24" s="103" t="s">
        <v>224</v>
      </c>
      <c r="E24" s="99" t="s">
        <v>20</v>
      </c>
      <c r="F24" s="127">
        <v>32857</v>
      </c>
      <c r="G24" s="98" t="s">
        <v>227</v>
      </c>
      <c r="H24" s="98" t="s">
        <v>146</v>
      </c>
      <c r="I24" s="98"/>
      <c r="J24" s="98" t="s">
        <v>1034</v>
      </c>
      <c r="K24" s="98" t="s">
        <v>1035</v>
      </c>
      <c r="L24" s="98" t="s">
        <v>232</v>
      </c>
      <c r="M24" s="98" t="s">
        <v>233</v>
      </c>
      <c r="N24" s="98"/>
      <c r="O24" s="98">
        <v>3</v>
      </c>
      <c r="P24" s="98"/>
      <c r="Q24" s="98"/>
      <c r="R24" s="98"/>
      <c r="S24" s="98"/>
      <c r="T24" s="98"/>
      <c r="U24" s="98"/>
      <c r="V24" s="98"/>
      <c r="W24" s="98"/>
      <c r="X24" s="101" t="str">
        <f t="shared" si="0"/>
        <v/>
      </c>
      <c r="Y24" s="111">
        <v>1648</v>
      </c>
      <c r="Z24" s="106" t="str">
        <f t="shared" si="2"/>
        <v/>
      </c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s="107" customFormat="1">
      <c r="A25" s="97">
        <v>86</v>
      </c>
      <c r="B25" s="103" t="s">
        <v>223</v>
      </c>
      <c r="C25" s="103">
        <v>1991</v>
      </c>
      <c r="D25" s="103" t="s">
        <v>224</v>
      </c>
      <c r="E25" s="99" t="s">
        <v>20</v>
      </c>
      <c r="F25" s="127">
        <v>32961</v>
      </c>
      <c r="G25" s="98" t="s">
        <v>227</v>
      </c>
      <c r="H25" s="98" t="s">
        <v>146</v>
      </c>
      <c r="I25" s="98"/>
      <c r="J25" s="98" t="s">
        <v>1034</v>
      </c>
      <c r="K25" s="98" t="s">
        <v>1035</v>
      </c>
      <c r="L25" s="98" t="s">
        <v>232</v>
      </c>
      <c r="M25" s="98" t="s">
        <v>233</v>
      </c>
      <c r="N25" s="98"/>
      <c r="O25" s="98">
        <v>10</v>
      </c>
      <c r="P25" s="98"/>
      <c r="Q25" s="98"/>
      <c r="R25" s="98"/>
      <c r="S25" s="98"/>
      <c r="T25" s="98"/>
      <c r="U25" s="98"/>
      <c r="V25" s="98"/>
      <c r="W25" s="98"/>
      <c r="X25" s="101" t="str">
        <f t="shared" si="0"/>
        <v/>
      </c>
      <c r="Y25" s="111">
        <v>1660.1</v>
      </c>
      <c r="Z25" s="106" t="str">
        <f t="shared" si="2"/>
        <v/>
      </c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</row>
    <row r="26" spans="1:38" s="107" customFormat="1">
      <c r="A26" s="97">
        <v>86</v>
      </c>
      <c r="B26" s="103" t="s">
        <v>223</v>
      </c>
      <c r="C26" s="103">
        <v>1991</v>
      </c>
      <c r="D26" s="103" t="s">
        <v>224</v>
      </c>
      <c r="E26" s="99" t="s">
        <v>20</v>
      </c>
      <c r="F26" s="127">
        <v>33093</v>
      </c>
      <c r="G26" s="98" t="s">
        <v>227</v>
      </c>
      <c r="H26" s="98" t="s">
        <v>146</v>
      </c>
      <c r="I26" s="98"/>
      <c r="J26" s="98" t="s">
        <v>1034</v>
      </c>
      <c r="K26" s="98" t="s">
        <v>1035</v>
      </c>
      <c r="L26" s="98" t="s">
        <v>232</v>
      </c>
      <c r="M26" s="98" t="s">
        <v>233</v>
      </c>
      <c r="N26" s="98"/>
      <c r="O26" s="98">
        <v>38</v>
      </c>
      <c r="P26" s="98"/>
      <c r="Q26" s="98"/>
      <c r="R26" s="98"/>
      <c r="S26" s="98"/>
      <c r="T26" s="98"/>
      <c r="U26" s="98"/>
      <c r="V26" s="98"/>
      <c r="W26" s="98"/>
      <c r="X26" s="101" t="str">
        <f t="shared" si="0"/>
        <v/>
      </c>
      <c r="Y26" s="111">
        <v>1670.9</v>
      </c>
      <c r="Z26" s="106" t="str">
        <f t="shared" si="2"/>
        <v/>
      </c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</row>
    <row r="27" spans="1:38" s="107" customFormat="1">
      <c r="A27" s="97">
        <v>86</v>
      </c>
      <c r="B27" s="103" t="s">
        <v>223</v>
      </c>
      <c r="C27" s="103">
        <v>1991</v>
      </c>
      <c r="D27" s="103" t="s">
        <v>224</v>
      </c>
      <c r="E27" s="99" t="s">
        <v>20</v>
      </c>
      <c r="F27" s="127">
        <v>32857</v>
      </c>
      <c r="G27" s="98" t="s">
        <v>227</v>
      </c>
      <c r="H27" s="98" t="s">
        <v>146</v>
      </c>
      <c r="I27" s="98"/>
      <c r="J27" s="98" t="s">
        <v>1034</v>
      </c>
      <c r="K27" s="98" t="s">
        <v>1035</v>
      </c>
      <c r="L27" s="98" t="s">
        <v>232</v>
      </c>
      <c r="M27" s="98" t="s">
        <v>233</v>
      </c>
      <c r="N27" s="98"/>
      <c r="O27" s="98">
        <v>5</v>
      </c>
      <c r="P27" s="98"/>
      <c r="Q27" s="98"/>
      <c r="R27" s="98"/>
      <c r="S27" s="98"/>
      <c r="T27" s="98"/>
      <c r="U27" s="98"/>
      <c r="V27" s="98"/>
      <c r="W27" s="98"/>
      <c r="X27" s="101" t="str">
        <f t="shared" si="0"/>
        <v/>
      </c>
      <c r="Y27" s="111">
        <v>1697</v>
      </c>
      <c r="Z27" s="106" t="str">
        <f t="shared" si="2"/>
        <v/>
      </c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</row>
    <row r="28" spans="1:38" s="107" customFormat="1">
      <c r="A28" s="97">
        <v>86</v>
      </c>
      <c r="B28" s="103" t="s">
        <v>223</v>
      </c>
      <c r="C28" s="103">
        <v>1991</v>
      </c>
      <c r="D28" s="103" t="s">
        <v>224</v>
      </c>
      <c r="E28" s="99" t="s">
        <v>20</v>
      </c>
      <c r="F28" s="127">
        <v>32857</v>
      </c>
      <c r="G28" s="98" t="s">
        <v>227</v>
      </c>
      <c r="H28" s="98" t="s">
        <v>146</v>
      </c>
      <c r="I28" s="98"/>
      <c r="J28" s="98" t="s">
        <v>1034</v>
      </c>
      <c r="K28" s="98" t="s">
        <v>1035</v>
      </c>
      <c r="L28" s="98" t="s">
        <v>232</v>
      </c>
      <c r="M28" s="98" t="s">
        <v>233</v>
      </c>
      <c r="N28" s="98"/>
      <c r="O28" s="98">
        <v>9</v>
      </c>
      <c r="P28" s="98"/>
      <c r="Q28" s="98"/>
      <c r="R28" s="98"/>
      <c r="S28" s="98"/>
      <c r="T28" s="98"/>
      <c r="U28" s="98"/>
      <c r="V28" s="98"/>
      <c r="W28" s="98"/>
      <c r="X28" s="101" t="str">
        <f t="shared" si="0"/>
        <v/>
      </c>
      <c r="Y28" s="111">
        <v>1728</v>
      </c>
      <c r="Z28" s="106" t="str">
        <f t="shared" si="2"/>
        <v/>
      </c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</row>
    <row r="29" spans="1:38" s="107" customFormat="1">
      <c r="A29" s="174"/>
      <c r="B29" s="182" t="s">
        <v>1025</v>
      </c>
      <c r="C29" s="132">
        <v>1996</v>
      </c>
      <c r="D29" s="174"/>
      <c r="E29" s="180" t="s">
        <v>49</v>
      </c>
      <c r="F29" s="174"/>
      <c r="G29" s="174"/>
      <c r="H29" s="182" t="s">
        <v>146</v>
      </c>
      <c r="I29" s="174"/>
      <c r="J29" s="101" t="s">
        <v>1034</v>
      </c>
      <c r="K29" s="98" t="s">
        <v>1035</v>
      </c>
      <c r="L29" s="182" t="s">
        <v>1033</v>
      </c>
      <c r="M29" s="174"/>
      <c r="N29" s="174"/>
      <c r="O29" s="182" t="s">
        <v>1029</v>
      </c>
      <c r="P29" s="174"/>
      <c r="Q29" s="174"/>
      <c r="R29" s="174"/>
      <c r="S29" s="174">
        <v>90.1</v>
      </c>
      <c r="T29" s="174"/>
      <c r="U29" s="174">
        <f>+S29</f>
        <v>90.1</v>
      </c>
      <c r="V29" s="174">
        <f>3306.8/2</f>
        <v>1653.4</v>
      </c>
      <c r="W29" s="174"/>
      <c r="X29" s="101">
        <f t="shared" si="0"/>
        <v>0.90099999999999991</v>
      </c>
      <c r="Y29" s="230">
        <f>+V29</f>
        <v>1653.4</v>
      </c>
      <c r="Z29" s="106" t="str">
        <f t="shared" si="2"/>
        <v>F</v>
      </c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</row>
    <row r="30" spans="1:38" s="107" customFormat="1">
      <c r="A30" s="97">
        <v>174</v>
      </c>
      <c r="B30" s="98" t="s">
        <v>697</v>
      </c>
      <c r="C30" s="98">
        <v>2009</v>
      </c>
      <c r="D30" s="108" t="s">
        <v>698</v>
      </c>
      <c r="E30" s="99" t="s">
        <v>20</v>
      </c>
      <c r="F30" s="100" t="s">
        <v>701</v>
      </c>
      <c r="G30" s="98" t="s">
        <v>718</v>
      </c>
      <c r="H30" s="98" t="s">
        <v>146</v>
      </c>
      <c r="I30" s="98"/>
      <c r="J30" s="174" t="s">
        <v>1034</v>
      </c>
      <c r="K30" s="98" t="s">
        <v>1035</v>
      </c>
      <c r="L30" s="98" t="s">
        <v>232</v>
      </c>
      <c r="M30" s="109"/>
      <c r="N30" s="109"/>
      <c r="O30" s="98" t="s">
        <v>232</v>
      </c>
      <c r="P30" s="103"/>
      <c r="Q30" s="103"/>
      <c r="R30" s="98"/>
      <c r="S30" s="98"/>
      <c r="T30" s="98"/>
      <c r="U30" s="104">
        <v>0.91400000000000003</v>
      </c>
      <c r="V30" s="175"/>
      <c r="W30" s="175"/>
      <c r="X30" s="101">
        <f t="shared" si="0"/>
        <v>0.91400000000000003</v>
      </c>
      <c r="Y30" s="221">
        <v>1562</v>
      </c>
      <c r="Z30" s="106" t="str">
        <f t="shared" si="2"/>
        <v>F</v>
      </c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</row>
    <row r="31" spans="1:38" s="107" customFormat="1">
      <c r="A31" s="174"/>
      <c r="B31" s="182" t="s">
        <v>1025</v>
      </c>
      <c r="C31" s="132">
        <v>1996</v>
      </c>
      <c r="D31" s="174"/>
      <c r="E31" s="180" t="s">
        <v>49</v>
      </c>
      <c r="F31" s="174"/>
      <c r="G31" s="174"/>
      <c r="H31" s="182" t="s">
        <v>146</v>
      </c>
      <c r="I31" s="174"/>
      <c r="J31" s="101" t="s">
        <v>1034</v>
      </c>
      <c r="K31" s="98" t="s">
        <v>1035</v>
      </c>
      <c r="L31" s="182" t="s">
        <v>1032</v>
      </c>
      <c r="M31" s="174"/>
      <c r="N31" s="174"/>
      <c r="O31" s="182" t="s">
        <v>1028</v>
      </c>
      <c r="P31" s="174"/>
      <c r="Q31" s="174"/>
      <c r="R31" s="174"/>
      <c r="S31" s="174">
        <v>91.48</v>
      </c>
      <c r="T31" s="174"/>
      <c r="U31" s="174">
        <f>+S31</f>
        <v>91.48</v>
      </c>
      <c r="V31" s="174">
        <f>3357.4/2</f>
        <v>1678.7</v>
      </c>
      <c r="W31" s="174"/>
      <c r="X31" s="101">
        <f t="shared" si="0"/>
        <v>0.91480000000000006</v>
      </c>
      <c r="Y31" s="230">
        <f>+V31</f>
        <v>1678.7</v>
      </c>
      <c r="Z31" s="106" t="str">
        <f t="shared" si="2"/>
        <v>F</v>
      </c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</row>
    <row r="32" spans="1:38" s="107" customFormat="1">
      <c r="A32" s="174"/>
      <c r="B32" s="182" t="s">
        <v>1025</v>
      </c>
      <c r="C32" s="132">
        <v>1996</v>
      </c>
      <c r="D32" s="174"/>
      <c r="E32" s="180" t="s">
        <v>49</v>
      </c>
      <c r="F32" s="174"/>
      <c r="G32" s="174"/>
      <c r="H32" s="182" t="s">
        <v>146</v>
      </c>
      <c r="I32" s="174"/>
      <c r="J32" s="101" t="s">
        <v>1034</v>
      </c>
      <c r="K32" s="98" t="s">
        <v>1035</v>
      </c>
      <c r="L32" s="182" t="s">
        <v>1032</v>
      </c>
      <c r="M32" s="174"/>
      <c r="N32" s="174"/>
      <c r="O32" s="182" t="s">
        <v>1028</v>
      </c>
      <c r="P32" s="174"/>
      <c r="Q32" s="174"/>
      <c r="R32" s="174"/>
      <c r="S32" s="174">
        <v>91.48</v>
      </c>
      <c r="T32" s="174"/>
      <c r="U32" s="174">
        <f>+S32</f>
        <v>91.48</v>
      </c>
      <c r="V32" s="174">
        <f>3357.4/2</f>
        <v>1678.7</v>
      </c>
      <c r="W32" s="174"/>
      <c r="X32" s="101">
        <f t="shared" si="0"/>
        <v>0.91480000000000006</v>
      </c>
      <c r="Y32" s="230">
        <f>+V32</f>
        <v>1678.7</v>
      </c>
      <c r="Z32" s="106" t="str">
        <f t="shared" si="2"/>
        <v>F</v>
      </c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</row>
    <row r="33" spans="1:38" s="107" customFormat="1">
      <c r="A33" s="97">
        <v>172</v>
      </c>
      <c r="B33" s="98" t="s">
        <v>585</v>
      </c>
      <c r="C33" s="98">
        <v>2010</v>
      </c>
      <c r="D33" s="98" t="s">
        <v>586</v>
      </c>
      <c r="E33" s="99" t="s">
        <v>589</v>
      </c>
      <c r="F33" s="100">
        <v>40219</v>
      </c>
      <c r="G33" s="98" t="s">
        <v>590</v>
      </c>
      <c r="H33" s="98" t="s">
        <v>146</v>
      </c>
      <c r="I33" s="98"/>
      <c r="J33" s="101" t="s">
        <v>1034</v>
      </c>
      <c r="K33" s="98" t="s">
        <v>1035</v>
      </c>
      <c r="L33" s="98" t="s">
        <v>593</v>
      </c>
      <c r="M33" s="102" t="s">
        <v>233</v>
      </c>
      <c r="N33" s="102" t="s">
        <v>594</v>
      </c>
      <c r="O33" s="98"/>
      <c r="P33" s="103"/>
      <c r="Q33" s="103"/>
      <c r="R33" s="98"/>
      <c r="S33" s="98"/>
      <c r="T33" s="98"/>
      <c r="U33" s="103">
        <v>0.93899999999999995</v>
      </c>
      <c r="V33" s="103"/>
      <c r="W33" s="103"/>
      <c r="X33" s="101">
        <f t="shared" si="0"/>
        <v>0.93899999999999995</v>
      </c>
      <c r="Y33" s="125">
        <v>1801</v>
      </c>
      <c r="Z33" s="106" t="str">
        <f t="shared" si="2"/>
        <v>F</v>
      </c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</row>
    <row r="34" spans="1:38" s="107" customFormat="1">
      <c r="A34" s="97">
        <v>203</v>
      </c>
      <c r="B34" s="123" t="s">
        <v>940</v>
      </c>
      <c r="C34" s="98">
        <v>2011</v>
      </c>
      <c r="D34" s="123" t="s">
        <v>941</v>
      </c>
      <c r="E34" s="99" t="s">
        <v>20</v>
      </c>
      <c r="F34" s="98">
        <v>2009</v>
      </c>
      <c r="G34" s="98" t="s">
        <v>326</v>
      </c>
      <c r="H34" s="98"/>
      <c r="I34" s="98"/>
      <c r="J34" s="174" t="s">
        <v>1034</v>
      </c>
      <c r="K34" s="98" t="s">
        <v>1035</v>
      </c>
      <c r="L34" s="98" t="s">
        <v>232</v>
      </c>
      <c r="M34" s="98"/>
      <c r="N34" s="98"/>
      <c r="O34" s="98">
        <v>59</v>
      </c>
      <c r="P34" s="98"/>
      <c r="Q34" s="98"/>
      <c r="R34" s="98"/>
      <c r="S34" s="98"/>
      <c r="T34" s="98"/>
      <c r="U34" s="98">
        <v>0.94</v>
      </c>
      <c r="V34" s="98"/>
      <c r="W34" s="98"/>
      <c r="X34" s="101">
        <f t="shared" ref="X34:X65" si="3">IF(R34&lt;&gt;0,IF(R34&gt;1,R34/100,R34),IF(U34&lt;&gt;0,IF(U34&gt;1,U34/100,U34),""))</f>
        <v>0.94</v>
      </c>
      <c r="Y34" s="111">
        <v>1876</v>
      </c>
      <c r="Z34" s="106" t="str">
        <f t="shared" si="2"/>
        <v>F</v>
      </c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</row>
    <row r="35" spans="1:38" s="107" customFormat="1">
      <c r="A35" s="97">
        <v>66</v>
      </c>
      <c r="B35" s="103" t="s">
        <v>45</v>
      </c>
      <c r="C35" s="103">
        <v>1989</v>
      </c>
      <c r="D35" s="103" t="s">
        <v>187</v>
      </c>
      <c r="E35" s="99" t="s">
        <v>49</v>
      </c>
      <c r="F35" s="98" t="s">
        <v>192</v>
      </c>
      <c r="G35" s="98" t="s">
        <v>190</v>
      </c>
      <c r="H35" s="98" t="s">
        <v>146</v>
      </c>
      <c r="I35" s="98"/>
      <c r="J35" s="98" t="s">
        <v>1034</v>
      </c>
      <c r="K35" s="98" t="s">
        <v>1035</v>
      </c>
      <c r="L35" s="98" t="s">
        <v>193</v>
      </c>
      <c r="M35" s="98"/>
      <c r="N35" s="98"/>
      <c r="O35" s="98" t="s">
        <v>200</v>
      </c>
      <c r="P35" s="98"/>
      <c r="Q35" s="98"/>
      <c r="R35" s="98"/>
      <c r="S35" s="98"/>
      <c r="T35" s="98"/>
      <c r="U35" s="98"/>
      <c r="V35" s="98"/>
      <c r="W35" s="98"/>
      <c r="X35" s="101" t="str">
        <f t="shared" si="3"/>
        <v/>
      </c>
      <c r="Y35" s="111">
        <v>1650</v>
      </c>
      <c r="Z35" s="106" t="s">
        <v>1192</v>
      </c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</row>
    <row r="36" spans="1:38" s="107" customFormat="1">
      <c r="A36" s="97">
        <v>66</v>
      </c>
      <c r="B36" s="103" t="s">
        <v>45</v>
      </c>
      <c r="C36" s="103">
        <v>1989</v>
      </c>
      <c r="D36" s="103" t="s">
        <v>187</v>
      </c>
      <c r="E36" s="99" t="s">
        <v>49</v>
      </c>
      <c r="F36" s="98" t="s">
        <v>192</v>
      </c>
      <c r="G36" s="98" t="s">
        <v>190</v>
      </c>
      <c r="H36" s="98" t="s">
        <v>146</v>
      </c>
      <c r="I36" s="98"/>
      <c r="J36" s="98" t="s">
        <v>1034</v>
      </c>
      <c r="K36" s="98" t="s">
        <v>1035</v>
      </c>
      <c r="L36" s="98" t="s">
        <v>193</v>
      </c>
      <c r="M36" s="98"/>
      <c r="N36" s="98"/>
      <c r="O36" s="98" t="s">
        <v>199</v>
      </c>
      <c r="P36" s="98"/>
      <c r="Q36" s="98"/>
      <c r="R36" s="98"/>
      <c r="S36" s="98"/>
      <c r="T36" s="98"/>
      <c r="U36" s="98"/>
      <c r="V36" s="98"/>
      <c r="W36" s="98"/>
      <c r="X36" s="101" t="str">
        <f t="shared" si="3"/>
        <v/>
      </c>
      <c r="Y36" s="111">
        <v>1681</v>
      </c>
      <c r="Z36" s="106" t="s">
        <v>1192</v>
      </c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</row>
    <row r="37" spans="1:38" s="107" customFormat="1">
      <c r="A37" s="97">
        <v>66</v>
      </c>
      <c r="B37" s="103" t="s">
        <v>45</v>
      </c>
      <c r="C37" s="103">
        <v>1989</v>
      </c>
      <c r="D37" s="103" t="s">
        <v>187</v>
      </c>
      <c r="E37" s="99" t="s">
        <v>49</v>
      </c>
      <c r="F37" s="98" t="s">
        <v>192</v>
      </c>
      <c r="G37" s="98" t="s">
        <v>190</v>
      </c>
      <c r="H37" s="98" t="s">
        <v>146</v>
      </c>
      <c r="I37" s="98"/>
      <c r="J37" s="98" t="s">
        <v>1034</v>
      </c>
      <c r="K37" s="98" t="s">
        <v>1035</v>
      </c>
      <c r="L37" s="98" t="s">
        <v>193</v>
      </c>
      <c r="M37" s="98"/>
      <c r="N37" s="98"/>
      <c r="O37" s="98" t="s">
        <v>194</v>
      </c>
      <c r="P37" s="98"/>
      <c r="Q37" s="98"/>
      <c r="R37" s="98"/>
      <c r="S37" s="98"/>
      <c r="T37" s="98"/>
      <c r="U37" s="98"/>
      <c r="V37" s="98"/>
      <c r="W37" s="98"/>
      <c r="X37" s="101" t="str">
        <f t="shared" si="3"/>
        <v/>
      </c>
      <c r="Y37" s="111">
        <v>1690</v>
      </c>
      <c r="Z37" s="106" t="s">
        <v>1192</v>
      </c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</row>
    <row r="38" spans="1:38" s="107" customFormat="1">
      <c r="A38" s="174"/>
      <c r="B38" s="182" t="s">
        <v>1025</v>
      </c>
      <c r="C38" s="132">
        <v>1996</v>
      </c>
      <c r="D38" s="174"/>
      <c r="E38" s="180" t="s">
        <v>49</v>
      </c>
      <c r="F38" s="174"/>
      <c r="G38" s="174"/>
      <c r="H38" s="182" t="s">
        <v>146</v>
      </c>
      <c r="I38" s="174"/>
      <c r="J38" s="101" t="s">
        <v>1034</v>
      </c>
      <c r="K38" s="98" t="s">
        <v>1035</v>
      </c>
      <c r="L38" s="182" t="s">
        <v>1032</v>
      </c>
      <c r="M38" s="174"/>
      <c r="N38" s="174"/>
      <c r="O38" s="182" t="s">
        <v>1028</v>
      </c>
      <c r="P38" s="174"/>
      <c r="Q38" s="174"/>
      <c r="R38" s="174"/>
      <c r="S38" s="174"/>
      <c r="T38" s="174">
        <v>84.74</v>
      </c>
      <c r="U38" s="174">
        <f>+T38</f>
        <v>84.74</v>
      </c>
      <c r="V38" s="174"/>
      <c r="W38" s="174">
        <f>3110/2</f>
        <v>1555</v>
      </c>
      <c r="X38" s="101">
        <f t="shared" si="3"/>
        <v>0.84739999999999993</v>
      </c>
      <c r="Y38" s="230">
        <f>+W38</f>
        <v>1555</v>
      </c>
      <c r="Z38" s="106" t="str">
        <f t="shared" ref="Z38:Z78" si="4">IF(X38&lt;&gt;"",IF(X38&lt;0.9,"S","F"),"")</f>
        <v>S</v>
      </c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</row>
    <row r="39" spans="1:38" s="107" customFormat="1">
      <c r="A39" s="174"/>
      <c r="B39" s="182" t="s">
        <v>1025</v>
      </c>
      <c r="C39" s="132">
        <v>1996</v>
      </c>
      <c r="D39" s="174"/>
      <c r="E39" s="180" t="s">
        <v>49</v>
      </c>
      <c r="F39" s="174"/>
      <c r="G39" s="174"/>
      <c r="H39" s="182" t="s">
        <v>146</v>
      </c>
      <c r="I39" s="174"/>
      <c r="J39" s="101" t="s">
        <v>1034</v>
      </c>
      <c r="K39" s="98" t="s">
        <v>1036</v>
      </c>
      <c r="L39" s="182" t="s">
        <v>1031</v>
      </c>
      <c r="M39" s="174"/>
      <c r="N39" s="174"/>
      <c r="O39" s="182" t="s">
        <v>1027</v>
      </c>
      <c r="P39" s="174"/>
      <c r="Q39" s="174"/>
      <c r="R39" s="174"/>
      <c r="S39" s="174">
        <v>93.68</v>
      </c>
      <c r="T39" s="174"/>
      <c r="U39" s="174">
        <f>+S39</f>
        <v>93.68</v>
      </c>
      <c r="V39" s="174">
        <f>3438.2/2</f>
        <v>1719.1</v>
      </c>
      <c r="W39" s="174"/>
      <c r="X39" s="101">
        <f t="shared" si="3"/>
        <v>0.93680000000000008</v>
      </c>
      <c r="Y39" s="230">
        <f>+V39</f>
        <v>1719.1</v>
      </c>
      <c r="Z39" s="106" t="str">
        <f t="shared" si="4"/>
        <v>F</v>
      </c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1:38" s="107" customFormat="1">
      <c r="A40" s="174"/>
      <c r="B40" s="182" t="s">
        <v>1025</v>
      </c>
      <c r="C40" s="132">
        <v>1996</v>
      </c>
      <c r="D40" s="174"/>
      <c r="E40" s="180" t="s">
        <v>49</v>
      </c>
      <c r="F40" s="174"/>
      <c r="G40" s="174"/>
      <c r="H40" s="182" t="s">
        <v>146</v>
      </c>
      <c r="I40" s="174"/>
      <c r="J40" s="101" t="s">
        <v>1034</v>
      </c>
      <c r="K40" s="98" t="s">
        <v>1036</v>
      </c>
      <c r="L40" s="182" t="s">
        <v>1031</v>
      </c>
      <c r="M40" s="174"/>
      <c r="N40" s="174"/>
      <c r="O40" s="182" t="s">
        <v>1027</v>
      </c>
      <c r="P40" s="174"/>
      <c r="Q40" s="174"/>
      <c r="R40" s="174"/>
      <c r="S40" s="174"/>
      <c r="T40" s="174">
        <v>85.28</v>
      </c>
      <c r="U40" s="174">
        <f>+T40</f>
        <v>85.28</v>
      </c>
      <c r="V40" s="174"/>
      <c r="W40" s="174">
        <f>3139.9/2</f>
        <v>1569.95</v>
      </c>
      <c r="X40" s="101">
        <f t="shared" si="3"/>
        <v>0.8528</v>
      </c>
      <c r="Y40" s="230">
        <f>+W40</f>
        <v>1569.95</v>
      </c>
      <c r="Z40" s="106" t="str">
        <f t="shared" si="4"/>
        <v>S</v>
      </c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1:38" s="107" customFormat="1">
      <c r="A41" s="97">
        <v>63</v>
      </c>
      <c r="B41" s="103" t="s">
        <v>168</v>
      </c>
      <c r="C41" s="103">
        <v>1989</v>
      </c>
      <c r="D41" s="103" t="s">
        <v>169</v>
      </c>
      <c r="E41" s="112" t="s">
        <v>172</v>
      </c>
      <c r="F41" s="134">
        <v>32017</v>
      </c>
      <c r="G41" s="98" t="s">
        <v>181</v>
      </c>
      <c r="H41" s="108" t="s">
        <v>986</v>
      </c>
      <c r="I41" s="108"/>
      <c r="J41" s="101" t="s">
        <v>1034</v>
      </c>
      <c r="K41" s="108" t="s">
        <v>1040</v>
      </c>
      <c r="L41" s="119" t="s">
        <v>182</v>
      </c>
      <c r="M41" s="119"/>
      <c r="N41" s="119"/>
      <c r="O41" s="119" t="s">
        <v>152</v>
      </c>
      <c r="P41" s="119"/>
      <c r="Q41" s="119"/>
      <c r="R41" s="98"/>
      <c r="S41" s="98"/>
      <c r="T41" s="98"/>
      <c r="U41" s="119"/>
      <c r="V41" s="119"/>
      <c r="W41" s="119"/>
      <c r="X41" s="101" t="str">
        <f t="shared" si="3"/>
        <v/>
      </c>
      <c r="Y41" s="223">
        <v>1664</v>
      </c>
      <c r="Z41" s="106" t="str">
        <f t="shared" si="4"/>
        <v/>
      </c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1:38" s="107" customFormat="1">
      <c r="A42" s="97">
        <v>86</v>
      </c>
      <c r="B42" s="103" t="s">
        <v>223</v>
      </c>
      <c r="C42" s="103">
        <v>1991</v>
      </c>
      <c r="D42" s="103" t="s">
        <v>224</v>
      </c>
      <c r="E42" s="99" t="s">
        <v>20</v>
      </c>
      <c r="F42" s="127">
        <v>33093</v>
      </c>
      <c r="G42" s="98" t="s">
        <v>227</v>
      </c>
      <c r="H42" s="98" t="s">
        <v>146</v>
      </c>
      <c r="I42" s="98"/>
      <c r="J42" s="98" t="s">
        <v>1034</v>
      </c>
      <c r="K42" s="98" t="s">
        <v>1040</v>
      </c>
      <c r="L42" s="98" t="s">
        <v>230</v>
      </c>
      <c r="M42" s="98" t="s">
        <v>231</v>
      </c>
      <c r="N42" s="98"/>
      <c r="O42" s="98">
        <v>44</v>
      </c>
      <c r="P42" s="98"/>
      <c r="Q42" s="98"/>
      <c r="R42" s="98"/>
      <c r="S42" s="98"/>
      <c r="T42" s="98"/>
      <c r="U42" s="98"/>
      <c r="V42" s="98"/>
      <c r="W42" s="98"/>
      <c r="X42" s="101" t="str">
        <f t="shared" si="3"/>
        <v/>
      </c>
      <c r="Y42" s="111">
        <v>1247.7</v>
      </c>
      <c r="Z42" s="106" t="str">
        <f t="shared" si="4"/>
        <v/>
      </c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1:38" s="107" customFormat="1">
      <c r="A43" s="97">
        <v>86</v>
      </c>
      <c r="B43" s="103" t="s">
        <v>223</v>
      </c>
      <c r="C43" s="103">
        <v>1991</v>
      </c>
      <c r="D43" s="103" t="s">
        <v>224</v>
      </c>
      <c r="E43" s="99" t="s">
        <v>20</v>
      </c>
      <c r="F43" s="127">
        <v>33093</v>
      </c>
      <c r="G43" s="98" t="s">
        <v>227</v>
      </c>
      <c r="H43" s="98" t="s">
        <v>146</v>
      </c>
      <c r="I43" s="98"/>
      <c r="J43" s="98" t="s">
        <v>1034</v>
      </c>
      <c r="K43" s="98" t="s">
        <v>1040</v>
      </c>
      <c r="L43" s="98" t="s">
        <v>230</v>
      </c>
      <c r="M43" s="98" t="s">
        <v>231</v>
      </c>
      <c r="N43" s="98"/>
      <c r="O43" s="98">
        <v>41</v>
      </c>
      <c r="P43" s="98"/>
      <c r="Q43" s="98"/>
      <c r="R43" s="98"/>
      <c r="S43" s="98"/>
      <c r="T43" s="98"/>
      <c r="U43" s="98"/>
      <c r="V43" s="98"/>
      <c r="W43" s="98"/>
      <c r="X43" s="101" t="str">
        <f t="shared" si="3"/>
        <v/>
      </c>
      <c r="Y43" s="111">
        <v>1352.8</v>
      </c>
      <c r="Z43" s="106" t="str">
        <f t="shared" si="4"/>
        <v/>
      </c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1:38" s="107" customFormat="1">
      <c r="A44" s="97">
        <v>86</v>
      </c>
      <c r="B44" s="103" t="s">
        <v>223</v>
      </c>
      <c r="C44" s="103">
        <v>1991</v>
      </c>
      <c r="D44" s="103" t="s">
        <v>224</v>
      </c>
      <c r="E44" s="99" t="s">
        <v>20</v>
      </c>
      <c r="F44" s="127">
        <v>33009</v>
      </c>
      <c r="G44" s="98" t="s">
        <v>227</v>
      </c>
      <c r="H44" s="98" t="s">
        <v>146</v>
      </c>
      <c r="I44" s="98"/>
      <c r="J44" s="98" t="s">
        <v>1034</v>
      </c>
      <c r="K44" s="98" t="s">
        <v>1040</v>
      </c>
      <c r="L44" s="98" t="s">
        <v>230</v>
      </c>
      <c r="M44" s="98" t="s">
        <v>231</v>
      </c>
      <c r="N44" s="98"/>
      <c r="O44" s="98">
        <v>32</v>
      </c>
      <c r="P44" s="98"/>
      <c r="Q44" s="98"/>
      <c r="R44" s="98"/>
      <c r="S44" s="98"/>
      <c r="T44" s="98"/>
      <c r="U44" s="98"/>
      <c r="V44" s="98"/>
      <c r="W44" s="98"/>
      <c r="X44" s="101" t="str">
        <f t="shared" si="3"/>
        <v/>
      </c>
      <c r="Y44" s="111">
        <v>1377.2</v>
      </c>
      <c r="Z44" s="106" t="str">
        <f t="shared" si="4"/>
        <v/>
      </c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1:38" s="107" customFormat="1">
      <c r="A45" s="97">
        <v>86</v>
      </c>
      <c r="B45" s="103" t="s">
        <v>223</v>
      </c>
      <c r="C45" s="103">
        <v>1991</v>
      </c>
      <c r="D45" s="103" t="s">
        <v>224</v>
      </c>
      <c r="E45" s="99" t="s">
        <v>20</v>
      </c>
      <c r="F45" s="127">
        <v>33008</v>
      </c>
      <c r="G45" s="98" t="s">
        <v>227</v>
      </c>
      <c r="H45" s="98" t="s">
        <v>146</v>
      </c>
      <c r="I45" s="98"/>
      <c r="J45" s="98" t="s">
        <v>1034</v>
      </c>
      <c r="K45" s="98" t="s">
        <v>1040</v>
      </c>
      <c r="L45" s="98" t="s">
        <v>230</v>
      </c>
      <c r="M45" s="98" t="s">
        <v>231</v>
      </c>
      <c r="N45" s="98"/>
      <c r="O45" s="98">
        <v>23</v>
      </c>
      <c r="P45" s="98"/>
      <c r="Q45" s="98"/>
      <c r="R45" s="98"/>
      <c r="S45" s="98"/>
      <c r="T45" s="98"/>
      <c r="U45" s="98"/>
      <c r="V45" s="98"/>
      <c r="W45" s="98"/>
      <c r="X45" s="101" t="str">
        <f t="shared" si="3"/>
        <v/>
      </c>
      <c r="Y45" s="111">
        <v>1391.5</v>
      </c>
      <c r="Z45" s="106" t="str">
        <f t="shared" si="4"/>
        <v/>
      </c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1:38" s="107" customFormat="1">
      <c r="A46" s="97">
        <v>86</v>
      </c>
      <c r="B46" s="103" t="s">
        <v>223</v>
      </c>
      <c r="C46" s="103">
        <v>1991</v>
      </c>
      <c r="D46" s="103" t="s">
        <v>224</v>
      </c>
      <c r="E46" s="99" t="s">
        <v>20</v>
      </c>
      <c r="F46" s="127">
        <v>33008</v>
      </c>
      <c r="G46" s="98" t="s">
        <v>227</v>
      </c>
      <c r="H46" s="98" t="s">
        <v>146</v>
      </c>
      <c r="I46" s="98"/>
      <c r="J46" s="98" t="s">
        <v>1034</v>
      </c>
      <c r="K46" s="98" t="s">
        <v>1040</v>
      </c>
      <c r="L46" s="98" t="s">
        <v>230</v>
      </c>
      <c r="M46" s="98" t="s">
        <v>231</v>
      </c>
      <c r="N46" s="98"/>
      <c r="O46" s="98">
        <v>27</v>
      </c>
      <c r="P46" s="98"/>
      <c r="Q46" s="98"/>
      <c r="R46" s="98"/>
      <c r="S46" s="98"/>
      <c r="T46" s="98"/>
      <c r="U46" s="98"/>
      <c r="V46" s="98"/>
      <c r="W46" s="98"/>
      <c r="X46" s="101" t="str">
        <f t="shared" si="3"/>
        <v/>
      </c>
      <c r="Y46" s="111">
        <v>1456.5</v>
      </c>
      <c r="Z46" s="106" t="str">
        <f t="shared" si="4"/>
        <v/>
      </c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</row>
    <row r="47" spans="1:38" s="107" customFormat="1">
      <c r="A47" s="97">
        <v>86</v>
      </c>
      <c r="B47" s="103" t="s">
        <v>223</v>
      </c>
      <c r="C47" s="103">
        <v>1991</v>
      </c>
      <c r="D47" s="103" t="s">
        <v>224</v>
      </c>
      <c r="E47" s="99" t="s">
        <v>20</v>
      </c>
      <c r="F47" s="127">
        <v>33093</v>
      </c>
      <c r="G47" s="98" t="s">
        <v>227</v>
      </c>
      <c r="H47" s="98" t="s">
        <v>146</v>
      </c>
      <c r="I47" s="98"/>
      <c r="J47" s="98" t="s">
        <v>1034</v>
      </c>
      <c r="K47" s="98" t="s">
        <v>1040</v>
      </c>
      <c r="L47" s="98" t="s">
        <v>230</v>
      </c>
      <c r="M47" s="98" t="s">
        <v>231</v>
      </c>
      <c r="N47" s="98"/>
      <c r="O47" s="98">
        <v>34</v>
      </c>
      <c r="P47" s="98"/>
      <c r="Q47" s="98"/>
      <c r="R47" s="98"/>
      <c r="S47" s="98"/>
      <c r="T47" s="98"/>
      <c r="U47" s="98"/>
      <c r="V47" s="98"/>
      <c r="W47" s="98"/>
      <c r="X47" s="101" t="str">
        <f t="shared" si="3"/>
        <v/>
      </c>
      <c r="Y47" s="111">
        <v>1478.8</v>
      </c>
      <c r="Z47" s="106" t="str">
        <f t="shared" si="4"/>
        <v/>
      </c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1:38" s="107" customFormat="1">
      <c r="A48" s="97">
        <v>86</v>
      </c>
      <c r="B48" s="103" t="s">
        <v>223</v>
      </c>
      <c r="C48" s="103">
        <v>1991</v>
      </c>
      <c r="D48" s="103" t="s">
        <v>224</v>
      </c>
      <c r="E48" s="99" t="s">
        <v>20</v>
      </c>
      <c r="F48" s="127">
        <v>32857</v>
      </c>
      <c r="G48" s="98" t="s">
        <v>227</v>
      </c>
      <c r="H48" s="98" t="s">
        <v>146</v>
      </c>
      <c r="I48" s="98"/>
      <c r="J48" s="98" t="s">
        <v>1034</v>
      </c>
      <c r="K48" s="98" t="s">
        <v>1040</v>
      </c>
      <c r="L48" s="98" t="s">
        <v>230</v>
      </c>
      <c r="M48" s="98" t="s">
        <v>231</v>
      </c>
      <c r="N48" s="98"/>
      <c r="O48" s="98">
        <v>8</v>
      </c>
      <c r="P48" s="98"/>
      <c r="Q48" s="98"/>
      <c r="R48" s="98"/>
      <c r="S48" s="98"/>
      <c r="T48" s="98"/>
      <c r="U48" s="98"/>
      <c r="V48" s="98"/>
      <c r="W48" s="98"/>
      <c r="X48" s="101" t="str">
        <f t="shared" si="3"/>
        <v/>
      </c>
      <c r="Y48" s="111">
        <v>1497</v>
      </c>
      <c r="Z48" s="106" t="str">
        <f t="shared" si="4"/>
        <v/>
      </c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1:38" s="107" customFormat="1">
      <c r="A49" s="97">
        <v>86</v>
      </c>
      <c r="B49" s="103" t="s">
        <v>223</v>
      </c>
      <c r="C49" s="103">
        <v>1991</v>
      </c>
      <c r="D49" s="103" t="s">
        <v>224</v>
      </c>
      <c r="E49" s="99" t="s">
        <v>20</v>
      </c>
      <c r="F49" s="127">
        <v>32961</v>
      </c>
      <c r="G49" s="98" t="s">
        <v>227</v>
      </c>
      <c r="H49" s="98" t="s">
        <v>146</v>
      </c>
      <c r="I49" s="98"/>
      <c r="J49" s="98" t="s">
        <v>1034</v>
      </c>
      <c r="K49" s="98" t="s">
        <v>1040</v>
      </c>
      <c r="L49" s="98" t="s">
        <v>230</v>
      </c>
      <c r="M49" s="98" t="s">
        <v>231</v>
      </c>
      <c r="N49" s="98"/>
      <c r="O49" s="98">
        <v>15</v>
      </c>
      <c r="P49" s="98"/>
      <c r="Q49" s="98"/>
      <c r="R49" s="98"/>
      <c r="S49" s="98"/>
      <c r="T49" s="98"/>
      <c r="U49" s="98"/>
      <c r="V49" s="98"/>
      <c r="W49" s="98"/>
      <c r="X49" s="101" t="str">
        <f t="shared" si="3"/>
        <v/>
      </c>
      <c r="Y49" s="111">
        <v>1531.4</v>
      </c>
      <c r="Z49" s="106" t="str">
        <f t="shared" si="4"/>
        <v/>
      </c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1:38" s="107" customFormat="1">
      <c r="A50" s="97">
        <v>86</v>
      </c>
      <c r="B50" s="103" t="s">
        <v>223</v>
      </c>
      <c r="C50" s="103">
        <v>1991</v>
      </c>
      <c r="D50" s="103" t="s">
        <v>224</v>
      </c>
      <c r="E50" s="99" t="s">
        <v>20</v>
      </c>
      <c r="F50" s="127">
        <v>32857</v>
      </c>
      <c r="G50" s="98" t="s">
        <v>227</v>
      </c>
      <c r="H50" s="98" t="s">
        <v>146</v>
      </c>
      <c r="I50" s="98"/>
      <c r="J50" s="98" t="s">
        <v>1034</v>
      </c>
      <c r="K50" s="98" t="s">
        <v>1040</v>
      </c>
      <c r="L50" s="98" t="s">
        <v>230</v>
      </c>
      <c r="M50" s="98" t="s">
        <v>231</v>
      </c>
      <c r="N50" s="98"/>
      <c r="O50" s="98">
        <v>2</v>
      </c>
      <c r="P50" s="98"/>
      <c r="Q50" s="98"/>
      <c r="R50" s="98"/>
      <c r="S50" s="98"/>
      <c r="T50" s="98"/>
      <c r="U50" s="98"/>
      <c r="V50" s="98"/>
      <c r="W50" s="98"/>
      <c r="X50" s="101" t="str">
        <f t="shared" si="3"/>
        <v/>
      </c>
      <c r="Y50" s="111">
        <v>1597</v>
      </c>
      <c r="Z50" s="106" t="str">
        <f t="shared" si="4"/>
        <v/>
      </c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1:38" s="107" customFormat="1">
      <c r="A51" s="97">
        <v>86</v>
      </c>
      <c r="B51" s="103" t="s">
        <v>223</v>
      </c>
      <c r="C51" s="103">
        <v>1991</v>
      </c>
      <c r="D51" s="103" t="s">
        <v>224</v>
      </c>
      <c r="E51" s="99" t="s">
        <v>20</v>
      </c>
      <c r="F51" s="127">
        <v>32961</v>
      </c>
      <c r="G51" s="98" t="s">
        <v>227</v>
      </c>
      <c r="H51" s="98" t="s">
        <v>146</v>
      </c>
      <c r="I51" s="98"/>
      <c r="J51" s="98" t="s">
        <v>1034</v>
      </c>
      <c r="K51" s="98" t="s">
        <v>1040</v>
      </c>
      <c r="L51" s="98" t="s">
        <v>230</v>
      </c>
      <c r="M51" s="98" t="s">
        <v>231</v>
      </c>
      <c r="N51" s="98"/>
      <c r="O51" s="98">
        <v>19</v>
      </c>
      <c r="P51" s="98"/>
      <c r="Q51" s="98"/>
      <c r="R51" s="98"/>
      <c r="S51" s="98"/>
      <c r="T51" s="98"/>
      <c r="U51" s="98"/>
      <c r="V51" s="98"/>
      <c r="W51" s="98"/>
      <c r="X51" s="101" t="str">
        <f t="shared" si="3"/>
        <v/>
      </c>
      <c r="Y51" s="111">
        <v>1676.2</v>
      </c>
      <c r="Z51" s="106" t="str">
        <f t="shared" si="4"/>
        <v/>
      </c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1:38" s="107" customFormat="1">
      <c r="A52" s="97">
        <v>86</v>
      </c>
      <c r="B52" s="103" t="s">
        <v>223</v>
      </c>
      <c r="C52" s="103">
        <v>1991</v>
      </c>
      <c r="D52" s="103" t="s">
        <v>224</v>
      </c>
      <c r="E52" s="99" t="s">
        <v>20</v>
      </c>
      <c r="F52" s="127">
        <v>32961</v>
      </c>
      <c r="G52" s="98" t="s">
        <v>227</v>
      </c>
      <c r="H52" s="98" t="s">
        <v>146</v>
      </c>
      <c r="I52" s="98"/>
      <c r="J52" s="98" t="s">
        <v>1034</v>
      </c>
      <c r="K52" s="98" t="s">
        <v>1040</v>
      </c>
      <c r="L52" s="98" t="s">
        <v>230</v>
      </c>
      <c r="M52" s="98" t="s">
        <v>231</v>
      </c>
      <c r="N52" s="98"/>
      <c r="O52" s="98">
        <v>13</v>
      </c>
      <c r="P52" s="98"/>
      <c r="Q52" s="98"/>
      <c r="R52" s="98"/>
      <c r="S52" s="98"/>
      <c r="T52" s="98"/>
      <c r="U52" s="98"/>
      <c r="V52" s="98"/>
      <c r="W52" s="98"/>
      <c r="X52" s="101" t="str">
        <f t="shared" si="3"/>
        <v/>
      </c>
      <c r="Y52" s="111">
        <v>1704.4</v>
      </c>
      <c r="Z52" s="106" t="str">
        <f t="shared" si="4"/>
        <v/>
      </c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</row>
    <row r="53" spans="1:38" s="107" customFormat="1">
      <c r="A53" s="97">
        <v>86</v>
      </c>
      <c r="B53" s="103" t="s">
        <v>223</v>
      </c>
      <c r="C53" s="103">
        <v>1991</v>
      </c>
      <c r="D53" s="103" t="s">
        <v>224</v>
      </c>
      <c r="E53" s="99" t="s">
        <v>20</v>
      </c>
      <c r="F53" s="127">
        <v>32961</v>
      </c>
      <c r="G53" s="98" t="s">
        <v>227</v>
      </c>
      <c r="H53" s="98" t="s">
        <v>146</v>
      </c>
      <c r="I53" s="98"/>
      <c r="J53" s="98" t="s">
        <v>1034</v>
      </c>
      <c r="K53" s="98" t="s">
        <v>1040</v>
      </c>
      <c r="L53" s="98" t="s">
        <v>230</v>
      </c>
      <c r="M53" s="98" t="s">
        <v>231</v>
      </c>
      <c r="N53" s="98"/>
      <c r="O53" s="98">
        <v>20</v>
      </c>
      <c r="P53" s="98"/>
      <c r="Q53" s="98"/>
      <c r="R53" s="98"/>
      <c r="S53" s="98"/>
      <c r="T53" s="98"/>
      <c r="U53" s="98"/>
      <c r="V53" s="98"/>
      <c r="W53" s="98"/>
      <c r="X53" s="101" t="str">
        <f t="shared" si="3"/>
        <v/>
      </c>
      <c r="Y53" s="111">
        <v>1717.7</v>
      </c>
      <c r="Z53" s="106" t="str">
        <f t="shared" si="4"/>
        <v/>
      </c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1:38" s="107" customFormat="1">
      <c r="A54" s="97">
        <v>86</v>
      </c>
      <c r="B54" s="103" t="s">
        <v>223</v>
      </c>
      <c r="C54" s="103">
        <v>1991</v>
      </c>
      <c r="D54" s="103" t="s">
        <v>224</v>
      </c>
      <c r="E54" s="99" t="s">
        <v>20</v>
      </c>
      <c r="F54" s="127">
        <v>33008</v>
      </c>
      <c r="G54" s="98" t="s">
        <v>227</v>
      </c>
      <c r="H54" s="98" t="s">
        <v>146</v>
      </c>
      <c r="I54" s="98"/>
      <c r="J54" s="98" t="s">
        <v>1034</v>
      </c>
      <c r="K54" s="98" t="s">
        <v>1066</v>
      </c>
      <c r="L54" s="98" t="s">
        <v>234</v>
      </c>
      <c r="M54" s="98" t="s">
        <v>235</v>
      </c>
      <c r="N54" s="98"/>
      <c r="O54" s="98">
        <v>24</v>
      </c>
      <c r="P54" s="98"/>
      <c r="Q54" s="98"/>
      <c r="R54" s="98"/>
      <c r="S54" s="98"/>
      <c r="T54" s="98"/>
      <c r="U54" s="98"/>
      <c r="V54" s="98"/>
      <c r="W54" s="98"/>
      <c r="X54" s="101" t="str">
        <f t="shared" si="3"/>
        <v/>
      </c>
      <c r="Y54" s="111">
        <v>1174</v>
      </c>
      <c r="Z54" s="106" t="str">
        <f t="shared" si="4"/>
        <v/>
      </c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</row>
    <row r="55" spans="1:38" s="107" customFormat="1">
      <c r="A55" s="97">
        <v>86</v>
      </c>
      <c r="B55" s="103" t="s">
        <v>223</v>
      </c>
      <c r="C55" s="103">
        <v>1991</v>
      </c>
      <c r="D55" s="103" t="s">
        <v>224</v>
      </c>
      <c r="E55" s="99" t="s">
        <v>20</v>
      </c>
      <c r="F55" s="127">
        <v>32857</v>
      </c>
      <c r="G55" s="98" t="s">
        <v>227</v>
      </c>
      <c r="H55" s="98" t="s">
        <v>146</v>
      </c>
      <c r="I55" s="98"/>
      <c r="J55" s="98" t="s">
        <v>1034</v>
      </c>
      <c r="K55" s="98" t="s">
        <v>1066</v>
      </c>
      <c r="L55" s="98" t="s">
        <v>234</v>
      </c>
      <c r="M55" s="98" t="s">
        <v>235</v>
      </c>
      <c r="N55" s="98"/>
      <c r="O55" s="98">
        <v>7</v>
      </c>
      <c r="P55" s="98"/>
      <c r="Q55" s="98"/>
      <c r="R55" s="98"/>
      <c r="S55" s="98"/>
      <c r="T55" s="98"/>
      <c r="U55" s="98"/>
      <c r="V55" s="98"/>
      <c r="W55" s="98"/>
      <c r="X55" s="101" t="str">
        <f t="shared" si="3"/>
        <v/>
      </c>
      <c r="Y55" s="111">
        <v>1370</v>
      </c>
      <c r="Z55" s="106" t="str">
        <f t="shared" si="4"/>
        <v/>
      </c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</row>
    <row r="56" spans="1:38" s="107" customFormat="1">
      <c r="A56" s="97">
        <v>86</v>
      </c>
      <c r="B56" s="103" t="s">
        <v>223</v>
      </c>
      <c r="C56" s="103">
        <v>1991</v>
      </c>
      <c r="D56" s="103" t="s">
        <v>224</v>
      </c>
      <c r="E56" s="99" t="s">
        <v>20</v>
      </c>
      <c r="F56" s="127">
        <v>33008</v>
      </c>
      <c r="G56" s="98" t="s">
        <v>227</v>
      </c>
      <c r="H56" s="98" t="s">
        <v>146</v>
      </c>
      <c r="I56" s="98"/>
      <c r="J56" s="98" t="s">
        <v>1034</v>
      </c>
      <c r="K56" s="98" t="s">
        <v>1066</v>
      </c>
      <c r="L56" s="98" t="s">
        <v>234</v>
      </c>
      <c r="M56" s="98" t="s">
        <v>235</v>
      </c>
      <c r="N56" s="98"/>
      <c r="O56" s="98">
        <v>26</v>
      </c>
      <c r="P56" s="98"/>
      <c r="Q56" s="98"/>
      <c r="R56" s="98"/>
      <c r="S56" s="98"/>
      <c r="T56" s="98"/>
      <c r="U56" s="98"/>
      <c r="V56" s="98"/>
      <c r="W56" s="98"/>
      <c r="X56" s="101" t="str">
        <f t="shared" si="3"/>
        <v/>
      </c>
      <c r="Y56" s="111">
        <v>1427.6</v>
      </c>
      <c r="Z56" s="106" t="str">
        <f t="shared" si="4"/>
        <v/>
      </c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</row>
    <row r="57" spans="1:38" s="107" customFormat="1">
      <c r="A57" s="97">
        <v>86</v>
      </c>
      <c r="B57" s="103" t="s">
        <v>223</v>
      </c>
      <c r="C57" s="103">
        <v>1991</v>
      </c>
      <c r="D57" s="103" t="s">
        <v>224</v>
      </c>
      <c r="E57" s="99" t="s">
        <v>20</v>
      </c>
      <c r="F57" s="127">
        <v>33009</v>
      </c>
      <c r="G57" s="98" t="s">
        <v>227</v>
      </c>
      <c r="H57" s="98" t="s">
        <v>146</v>
      </c>
      <c r="I57" s="98"/>
      <c r="J57" s="98" t="s">
        <v>1034</v>
      </c>
      <c r="K57" s="98" t="s">
        <v>1066</v>
      </c>
      <c r="L57" s="98" t="s">
        <v>234</v>
      </c>
      <c r="M57" s="98" t="s">
        <v>235</v>
      </c>
      <c r="N57" s="98"/>
      <c r="O57" s="98">
        <v>29</v>
      </c>
      <c r="P57" s="98"/>
      <c r="Q57" s="98"/>
      <c r="R57" s="98"/>
      <c r="S57" s="98"/>
      <c r="T57" s="98"/>
      <c r="U57" s="98"/>
      <c r="V57" s="98"/>
      <c r="W57" s="98"/>
      <c r="X57" s="101" t="str">
        <f t="shared" si="3"/>
        <v/>
      </c>
      <c r="Y57" s="111">
        <v>1428.7</v>
      </c>
      <c r="Z57" s="106" t="str">
        <f t="shared" si="4"/>
        <v/>
      </c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</row>
    <row r="58" spans="1:38" s="107" customFormat="1">
      <c r="A58" s="97">
        <v>86</v>
      </c>
      <c r="B58" s="103" t="s">
        <v>223</v>
      </c>
      <c r="C58" s="103">
        <v>1991</v>
      </c>
      <c r="D58" s="103" t="s">
        <v>224</v>
      </c>
      <c r="E58" s="99" t="s">
        <v>20</v>
      </c>
      <c r="F58" s="127">
        <v>33093</v>
      </c>
      <c r="G58" s="98" t="s">
        <v>227</v>
      </c>
      <c r="H58" s="98" t="s">
        <v>146</v>
      </c>
      <c r="I58" s="98"/>
      <c r="J58" s="98" t="s">
        <v>1034</v>
      </c>
      <c r="K58" s="98" t="s">
        <v>1066</v>
      </c>
      <c r="L58" s="98" t="s">
        <v>234</v>
      </c>
      <c r="M58" s="98" t="s">
        <v>235</v>
      </c>
      <c r="N58" s="98"/>
      <c r="O58" s="98">
        <v>43</v>
      </c>
      <c r="P58" s="98"/>
      <c r="Q58" s="98"/>
      <c r="R58" s="98"/>
      <c r="S58" s="98"/>
      <c r="T58" s="98"/>
      <c r="U58" s="98"/>
      <c r="V58" s="98"/>
      <c r="W58" s="98"/>
      <c r="X58" s="101" t="str">
        <f t="shared" si="3"/>
        <v/>
      </c>
      <c r="Y58" s="111">
        <v>1434.5</v>
      </c>
      <c r="Z58" s="106" t="str">
        <f t="shared" si="4"/>
        <v/>
      </c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</row>
    <row r="59" spans="1:38" s="107" customFormat="1">
      <c r="A59" s="97">
        <v>86</v>
      </c>
      <c r="B59" s="103" t="s">
        <v>223</v>
      </c>
      <c r="C59" s="103">
        <v>1991</v>
      </c>
      <c r="D59" s="103" t="s">
        <v>224</v>
      </c>
      <c r="E59" s="99" t="s">
        <v>20</v>
      </c>
      <c r="F59" s="127">
        <v>33093</v>
      </c>
      <c r="G59" s="98" t="s">
        <v>227</v>
      </c>
      <c r="H59" s="98" t="s">
        <v>146</v>
      </c>
      <c r="I59" s="98"/>
      <c r="J59" s="98" t="s">
        <v>1034</v>
      </c>
      <c r="K59" s="98" t="s">
        <v>1066</v>
      </c>
      <c r="L59" s="98" t="s">
        <v>234</v>
      </c>
      <c r="M59" s="98" t="s">
        <v>235</v>
      </c>
      <c r="N59" s="98"/>
      <c r="O59" s="98">
        <v>35</v>
      </c>
      <c r="P59" s="98"/>
      <c r="Q59" s="98"/>
      <c r="R59" s="98"/>
      <c r="S59" s="98"/>
      <c r="T59" s="98"/>
      <c r="U59" s="98"/>
      <c r="V59" s="98"/>
      <c r="W59" s="98"/>
      <c r="X59" s="101" t="str">
        <f t="shared" si="3"/>
        <v/>
      </c>
      <c r="Y59" s="111">
        <v>1449.5</v>
      </c>
      <c r="Z59" s="106" t="str">
        <f t="shared" si="4"/>
        <v/>
      </c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1:38" s="107" customFormat="1">
      <c r="A60" s="97">
        <v>86</v>
      </c>
      <c r="B60" s="103" t="s">
        <v>223</v>
      </c>
      <c r="C60" s="103">
        <v>1991</v>
      </c>
      <c r="D60" s="103" t="s">
        <v>224</v>
      </c>
      <c r="E60" s="99" t="s">
        <v>20</v>
      </c>
      <c r="F60" s="127">
        <v>32961</v>
      </c>
      <c r="G60" s="98" t="s">
        <v>227</v>
      </c>
      <c r="H60" s="98" t="s">
        <v>146</v>
      </c>
      <c r="I60" s="98"/>
      <c r="J60" s="98" t="s">
        <v>1034</v>
      </c>
      <c r="K60" s="98" t="s">
        <v>1066</v>
      </c>
      <c r="L60" s="98" t="s">
        <v>234</v>
      </c>
      <c r="M60" s="98" t="s">
        <v>235</v>
      </c>
      <c r="N60" s="98"/>
      <c r="O60" s="98">
        <v>21</v>
      </c>
      <c r="P60" s="98"/>
      <c r="Q60" s="98"/>
      <c r="R60" s="98"/>
      <c r="S60" s="98"/>
      <c r="T60" s="98"/>
      <c r="U60" s="98"/>
      <c r="V60" s="98"/>
      <c r="W60" s="98"/>
      <c r="X60" s="101" t="str">
        <f t="shared" si="3"/>
        <v/>
      </c>
      <c r="Y60" s="111">
        <v>1451.9</v>
      </c>
      <c r="Z60" s="106" t="str">
        <f t="shared" si="4"/>
        <v/>
      </c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</row>
    <row r="61" spans="1:38" s="107" customFormat="1">
      <c r="A61" s="97">
        <v>86</v>
      </c>
      <c r="B61" s="103" t="s">
        <v>223</v>
      </c>
      <c r="C61" s="103">
        <v>1991</v>
      </c>
      <c r="D61" s="103" t="s">
        <v>224</v>
      </c>
      <c r="E61" s="99" t="s">
        <v>20</v>
      </c>
      <c r="F61" s="127">
        <v>33093</v>
      </c>
      <c r="G61" s="98" t="s">
        <v>227</v>
      </c>
      <c r="H61" s="98" t="s">
        <v>146</v>
      </c>
      <c r="I61" s="98"/>
      <c r="J61" s="98" t="s">
        <v>1034</v>
      </c>
      <c r="K61" s="98" t="s">
        <v>1066</v>
      </c>
      <c r="L61" s="98" t="s">
        <v>234</v>
      </c>
      <c r="M61" s="98" t="s">
        <v>235</v>
      </c>
      <c r="N61" s="98"/>
      <c r="O61" s="98">
        <v>39</v>
      </c>
      <c r="P61" s="98"/>
      <c r="Q61" s="98"/>
      <c r="R61" s="98"/>
      <c r="S61" s="98"/>
      <c r="T61" s="98"/>
      <c r="U61" s="98"/>
      <c r="V61" s="98"/>
      <c r="W61" s="98"/>
      <c r="X61" s="101" t="str">
        <f t="shared" si="3"/>
        <v/>
      </c>
      <c r="Y61" s="111">
        <v>1452.7</v>
      </c>
      <c r="Z61" s="106" t="str">
        <f t="shared" si="4"/>
        <v/>
      </c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</row>
    <row r="62" spans="1:38" s="107" customFormat="1">
      <c r="A62" s="97">
        <v>86</v>
      </c>
      <c r="B62" s="103" t="s">
        <v>223</v>
      </c>
      <c r="C62" s="103">
        <v>1991</v>
      </c>
      <c r="D62" s="103" t="s">
        <v>224</v>
      </c>
      <c r="E62" s="99" t="s">
        <v>20</v>
      </c>
      <c r="F62" s="127">
        <v>32857</v>
      </c>
      <c r="G62" s="98" t="s">
        <v>227</v>
      </c>
      <c r="H62" s="98" t="s">
        <v>146</v>
      </c>
      <c r="I62" s="98"/>
      <c r="J62" s="98" t="s">
        <v>1034</v>
      </c>
      <c r="K62" s="98" t="s">
        <v>1066</v>
      </c>
      <c r="L62" s="98" t="s">
        <v>234</v>
      </c>
      <c r="M62" s="98" t="s">
        <v>235</v>
      </c>
      <c r="N62" s="98"/>
      <c r="O62" s="98">
        <v>4</v>
      </c>
      <c r="P62" s="98"/>
      <c r="Q62" s="98"/>
      <c r="R62" s="98"/>
      <c r="S62" s="98"/>
      <c r="T62" s="98"/>
      <c r="U62" s="98"/>
      <c r="V62" s="98"/>
      <c r="W62" s="98"/>
      <c r="X62" s="101" t="str">
        <f t="shared" si="3"/>
        <v/>
      </c>
      <c r="Y62" s="111">
        <v>1495</v>
      </c>
      <c r="Z62" s="106" t="str">
        <f t="shared" si="4"/>
        <v/>
      </c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</row>
    <row r="63" spans="1:38" s="107" customFormat="1">
      <c r="A63" s="97">
        <v>86</v>
      </c>
      <c r="B63" s="103" t="s">
        <v>223</v>
      </c>
      <c r="C63" s="103">
        <v>1991</v>
      </c>
      <c r="D63" s="103" t="s">
        <v>224</v>
      </c>
      <c r="E63" s="99" t="s">
        <v>20</v>
      </c>
      <c r="F63" s="127">
        <v>32961</v>
      </c>
      <c r="G63" s="98" t="s">
        <v>227</v>
      </c>
      <c r="H63" s="98" t="s">
        <v>146</v>
      </c>
      <c r="I63" s="98"/>
      <c r="J63" s="98" t="s">
        <v>1034</v>
      </c>
      <c r="K63" s="98" t="s">
        <v>1066</v>
      </c>
      <c r="L63" s="98" t="s">
        <v>234</v>
      </c>
      <c r="M63" s="98" t="s">
        <v>235</v>
      </c>
      <c r="N63" s="98"/>
      <c r="O63" s="98">
        <v>17</v>
      </c>
      <c r="P63" s="98"/>
      <c r="Q63" s="98"/>
      <c r="R63" s="98"/>
      <c r="S63" s="98"/>
      <c r="T63" s="98"/>
      <c r="U63" s="98"/>
      <c r="V63" s="98"/>
      <c r="W63" s="98"/>
      <c r="X63" s="101" t="str">
        <f t="shared" si="3"/>
        <v/>
      </c>
      <c r="Y63" s="111">
        <v>1527.5</v>
      </c>
      <c r="Z63" s="106" t="str">
        <f t="shared" si="4"/>
        <v/>
      </c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</row>
    <row r="64" spans="1:38" s="107" customFormat="1">
      <c r="A64" s="97">
        <v>86</v>
      </c>
      <c r="B64" s="103" t="s">
        <v>223</v>
      </c>
      <c r="C64" s="103">
        <v>1991</v>
      </c>
      <c r="D64" s="103" t="s">
        <v>224</v>
      </c>
      <c r="E64" s="99" t="s">
        <v>20</v>
      </c>
      <c r="F64" s="127">
        <v>32961</v>
      </c>
      <c r="G64" s="98" t="s">
        <v>227</v>
      </c>
      <c r="H64" s="98" t="s">
        <v>146</v>
      </c>
      <c r="I64" s="98"/>
      <c r="J64" s="98" t="s">
        <v>1034</v>
      </c>
      <c r="K64" s="98" t="s">
        <v>1066</v>
      </c>
      <c r="L64" s="98" t="s">
        <v>234</v>
      </c>
      <c r="M64" s="98" t="s">
        <v>235</v>
      </c>
      <c r="N64" s="98"/>
      <c r="O64" s="98">
        <v>11</v>
      </c>
      <c r="P64" s="98"/>
      <c r="Q64" s="98"/>
      <c r="R64" s="98"/>
      <c r="S64" s="98"/>
      <c r="T64" s="98"/>
      <c r="U64" s="98"/>
      <c r="V64" s="98"/>
      <c r="W64" s="98"/>
      <c r="X64" s="101" t="str">
        <f t="shared" si="3"/>
        <v/>
      </c>
      <c r="Y64" s="111">
        <v>1604.9</v>
      </c>
      <c r="Z64" s="106" t="str">
        <f t="shared" si="4"/>
        <v/>
      </c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</row>
    <row r="65" spans="1:38" s="107" customFormat="1">
      <c r="A65" s="97">
        <v>172</v>
      </c>
      <c r="B65" s="98" t="s">
        <v>585</v>
      </c>
      <c r="C65" s="98">
        <v>2010</v>
      </c>
      <c r="D65" s="98" t="s">
        <v>586</v>
      </c>
      <c r="E65" s="99" t="s">
        <v>589</v>
      </c>
      <c r="F65" s="100">
        <v>40222</v>
      </c>
      <c r="G65" s="98" t="s">
        <v>595</v>
      </c>
      <c r="H65" s="98" t="s">
        <v>146</v>
      </c>
      <c r="I65" s="98"/>
      <c r="J65" s="101" t="s">
        <v>1034</v>
      </c>
      <c r="K65" s="98" t="s">
        <v>1066</v>
      </c>
      <c r="L65" s="98" t="s">
        <v>602</v>
      </c>
      <c r="M65" s="102" t="s">
        <v>603</v>
      </c>
      <c r="N65" s="102" t="s">
        <v>604</v>
      </c>
      <c r="O65" s="98"/>
      <c r="P65" s="103"/>
      <c r="Q65" s="103"/>
      <c r="R65" s="98"/>
      <c r="S65" s="98"/>
      <c r="T65" s="98"/>
      <c r="U65" s="103">
        <v>0.94799999999999995</v>
      </c>
      <c r="V65" s="103"/>
      <c r="W65" s="103"/>
      <c r="X65" s="101">
        <f t="shared" si="3"/>
        <v>0.94799999999999995</v>
      </c>
      <c r="Y65" s="125">
        <v>1837</v>
      </c>
      <c r="Z65" s="106" t="str">
        <f t="shared" si="4"/>
        <v>F</v>
      </c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</row>
    <row r="66" spans="1:38" s="107" customFormat="1">
      <c r="A66" s="97">
        <v>174</v>
      </c>
      <c r="B66" s="98" t="s">
        <v>697</v>
      </c>
      <c r="C66" s="98">
        <v>2009</v>
      </c>
      <c r="D66" s="108" t="s">
        <v>698</v>
      </c>
      <c r="E66" s="99" t="s">
        <v>20</v>
      </c>
      <c r="F66" s="100" t="s">
        <v>701</v>
      </c>
      <c r="G66" s="98" t="s">
        <v>718</v>
      </c>
      <c r="H66" s="98" t="s">
        <v>146</v>
      </c>
      <c r="I66" s="98"/>
      <c r="J66" s="174" t="s">
        <v>1034</v>
      </c>
      <c r="K66" s="98" t="s">
        <v>1066</v>
      </c>
      <c r="L66" s="98" t="s">
        <v>234</v>
      </c>
      <c r="M66" s="109"/>
      <c r="N66" s="109"/>
      <c r="O66" s="98" t="s">
        <v>234</v>
      </c>
      <c r="P66" s="103"/>
      <c r="Q66" s="103"/>
      <c r="R66" s="98"/>
      <c r="S66" s="98"/>
      <c r="T66" s="98"/>
      <c r="U66" s="104">
        <v>0.89900000000000002</v>
      </c>
      <c r="V66" s="175"/>
      <c r="W66" s="175"/>
      <c r="X66" s="101">
        <f t="shared" ref="X66:X78" si="5">IF(R66&lt;&gt;0,IF(R66&gt;1,R66/100,R66),IF(U66&lt;&gt;0,IF(U66&gt;1,U66/100,U66),""))</f>
        <v>0.89900000000000002</v>
      </c>
      <c r="Y66" s="221">
        <v>1471</v>
      </c>
      <c r="Z66" s="106" t="str">
        <f t="shared" si="4"/>
        <v>S</v>
      </c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</row>
    <row r="67" spans="1:38" s="107" customFormat="1">
      <c r="A67" s="97">
        <v>174</v>
      </c>
      <c r="B67" s="98" t="s">
        <v>697</v>
      </c>
      <c r="C67" s="98">
        <v>2009</v>
      </c>
      <c r="D67" s="108" t="s">
        <v>698</v>
      </c>
      <c r="E67" s="99" t="s">
        <v>20</v>
      </c>
      <c r="F67" s="100" t="s">
        <v>701</v>
      </c>
      <c r="G67" s="98" t="s">
        <v>718</v>
      </c>
      <c r="H67" s="98" t="s">
        <v>146</v>
      </c>
      <c r="I67" s="98"/>
      <c r="J67" s="174" t="s">
        <v>1034</v>
      </c>
      <c r="K67" s="98" t="s">
        <v>1043</v>
      </c>
      <c r="L67" s="98" t="s">
        <v>735</v>
      </c>
      <c r="M67" s="109"/>
      <c r="N67" s="109"/>
      <c r="O67" s="98" t="s">
        <v>166</v>
      </c>
      <c r="P67" s="103"/>
      <c r="Q67" s="103"/>
      <c r="R67" s="98"/>
      <c r="S67" s="98"/>
      <c r="T67" s="98"/>
      <c r="U67" s="104">
        <v>0.90900000000000003</v>
      </c>
      <c r="V67" s="175"/>
      <c r="W67" s="175"/>
      <c r="X67" s="101">
        <f t="shared" si="5"/>
        <v>0.90900000000000003</v>
      </c>
      <c r="Y67" s="221">
        <v>1538</v>
      </c>
      <c r="Z67" s="106" t="str">
        <f t="shared" si="4"/>
        <v>F</v>
      </c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</row>
    <row r="68" spans="1:38" s="107" customFormat="1">
      <c r="A68" s="97">
        <v>173</v>
      </c>
      <c r="B68" s="98" t="s">
        <v>585</v>
      </c>
      <c r="C68" s="98">
        <v>2011</v>
      </c>
      <c r="D68" s="108" t="s">
        <v>636</v>
      </c>
      <c r="E68" s="99" t="s">
        <v>638</v>
      </c>
      <c r="F68" s="100" t="s">
        <v>669</v>
      </c>
      <c r="G68" s="98" t="s">
        <v>670</v>
      </c>
      <c r="H68" s="98" t="s">
        <v>146</v>
      </c>
      <c r="I68" s="98"/>
      <c r="J68" s="101" t="s">
        <v>1034</v>
      </c>
      <c r="K68" s="98" t="s">
        <v>1043</v>
      </c>
      <c r="L68" s="98" t="s">
        <v>671</v>
      </c>
      <c r="M68" s="109"/>
      <c r="N68" s="109"/>
      <c r="O68" s="98" t="s">
        <v>672</v>
      </c>
      <c r="P68" s="103"/>
      <c r="Q68" s="103"/>
      <c r="R68" s="98"/>
      <c r="S68" s="98"/>
      <c r="T68" s="98"/>
      <c r="U68" s="104">
        <v>0.93300000000000005</v>
      </c>
      <c r="V68" s="175"/>
      <c r="W68" s="175"/>
      <c r="X68" s="101">
        <f t="shared" si="5"/>
        <v>0.93300000000000005</v>
      </c>
      <c r="Y68" s="221">
        <v>1666</v>
      </c>
      <c r="Z68" s="106" t="str">
        <f t="shared" si="4"/>
        <v>F</v>
      </c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</row>
    <row r="69" spans="1:38" s="107" customFormat="1">
      <c r="A69" s="97">
        <v>172</v>
      </c>
      <c r="B69" s="98" t="s">
        <v>585</v>
      </c>
      <c r="C69" s="98">
        <v>2010</v>
      </c>
      <c r="D69" s="98" t="s">
        <v>586</v>
      </c>
      <c r="E69" s="99" t="s">
        <v>589</v>
      </c>
      <c r="F69" s="100">
        <v>40223</v>
      </c>
      <c r="G69" s="98" t="s">
        <v>595</v>
      </c>
      <c r="H69" s="98" t="s">
        <v>146</v>
      </c>
      <c r="I69" s="98"/>
      <c r="J69" s="101" t="s">
        <v>1034</v>
      </c>
      <c r="K69" s="98" t="s">
        <v>1043</v>
      </c>
      <c r="L69" s="98" t="s">
        <v>605</v>
      </c>
      <c r="M69" s="102" t="s">
        <v>606</v>
      </c>
      <c r="N69" s="102" t="s">
        <v>607</v>
      </c>
      <c r="O69" s="98"/>
      <c r="P69" s="103"/>
      <c r="Q69" s="103"/>
      <c r="R69" s="98"/>
      <c r="S69" s="98"/>
      <c r="T69" s="98"/>
      <c r="U69" s="103">
        <v>0.95199999999999996</v>
      </c>
      <c r="V69" s="103"/>
      <c r="W69" s="103"/>
      <c r="X69" s="101">
        <f t="shared" si="5"/>
        <v>0.95199999999999996</v>
      </c>
      <c r="Y69" s="125">
        <v>1769</v>
      </c>
      <c r="Z69" s="106" t="str">
        <f t="shared" si="4"/>
        <v>F</v>
      </c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</row>
    <row r="70" spans="1:38" s="107" customFormat="1">
      <c r="A70" s="97">
        <v>63</v>
      </c>
      <c r="B70" s="103" t="s">
        <v>168</v>
      </c>
      <c r="C70" s="103">
        <v>1989</v>
      </c>
      <c r="D70" s="103" t="s">
        <v>169</v>
      </c>
      <c r="E70" s="99" t="s">
        <v>172</v>
      </c>
      <c r="F70" s="127">
        <v>31950</v>
      </c>
      <c r="G70" s="98" t="s">
        <v>173</v>
      </c>
      <c r="H70" s="98" t="s">
        <v>146</v>
      </c>
      <c r="I70" s="174"/>
      <c r="J70" s="101" t="s">
        <v>1034</v>
      </c>
      <c r="K70" s="108" t="s">
        <v>1039</v>
      </c>
      <c r="L70" s="98" t="s">
        <v>174</v>
      </c>
      <c r="M70" s="98"/>
      <c r="N70" s="98"/>
      <c r="O70" s="98" t="s">
        <v>150</v>
      </c>
      <c r="P70" s="98"/>
      <c r="Q70" s="98"/>
      <c r="R70" s="98"/>
      <c r="S70" s="98"/>
      <c r="T70" s="98"/>
      <c r="U70" s="98"/>
      <c r="V70" s="98"/>
      <c r="W70" s="98"/>
      <c r="X70" s="101" t="str">
        <f t="shared" si="5"/>
        <v/>
      </c>
      <c r="Y70" s="111">
        <v>1650</v>
      </c>
      <c r="Z70" s="106" t="str">
        <f t="shared" si="4"/>
        <v/>
      </c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</row>
    <row r="71" spans="1:38" s="107" customFormat="1">
      <c r="A71" s="97">
        <v>63</v>
      </c>
      <c r="B71" s="103" t="s">
        <v>168</v>
      </c>
      <c r="C71" s="103">
        <v>1989</v>
      </c>
      <c r="D71" s="103" t="s">
        <v>169</v>
      </c>
      <c r="E71" s="99" t="s">
        <v>172</v>
      </c>
      <c r="F71" s="127">
        <v>31758</v>
      </c>
      <c r="G71" s="98" t="s">
        <v>173</v>
      </c>
      <c r="H71" s="98" t="s">
        <v>146</v>
      </c>
      <c r="I71" s="174"/>
      <c r="J71" s="101" t="s">
        <v>1034</v>
      </c>
      <c r="K71" s="108" t="s">
        <v>1039</v>
      </c>
      <c r="L71" s="98" t="s">
        <v>174</v>
      </c>
      <c r="M71" s="98"/>
      <c r="N71" s="98"/>
      <c r="O71" s="98" t="s">
        <v>175</v>
      </c>
      <c r="P71" s="98"/>
      <c r="Q71" s="98"/>
      <c r="R71" s="98"/>
      <c r="S71" s="98"/>
      <c r="T71" s="98"/>
      <c r="U71" s="98"/>
      <c r="V71" s="98"/>
      <c r="W71" s="98"/>
      <c r="X71" s="101" t="str">
        <f t="shared" si="5"/>
        <v/>
      </c>
      <c r="Y71" s="111">
        <v>1664</v>
      </c>
      <c r="Z71" s="106" t="str">
        <f t="shared" si="4"/>
        <v/>
      </c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</row>
    <row r="72" spans="1:38" s="107" customFormat="1">
      <c r="A72" s="97">
        <v>173</v>
      </c>
      <c r="B72" s="98" t="s">
        <v>585</v>
      </c>
      <c r="C72" s="98">
        <v>2011</v>
      </c>
      <c r="D72" s="108" t="s">
        <v>636</v>
      </c>
      <c r="E72" s="99" t="s">
        <v>638</v>
      </c>
      <c r="F72" s="100" t="s">
        <v>665</v>
      </c>
      <c r="G72" s="98" t="s">
        <v>595</v>
      </c>
      <c r="H72" s="98" t="s">
        <v>146</v>
      </c>
      <c r="I72" s="98"/>
      <c r="J72" s="101" t="s">
        <v>1034</v>
      </c>
      <c r="K72" s="98" t="s">
        <v>1079</v>
      </c>
      <c r="L72" s="98" t="s">
        <v>667</v>
      </c>
      <c r="M72" s="109"/>
      <c r="N72" s="109"/>
      <c r="O72" s="98" t="s">
        <v>668</v>
      </c>
      <c r="P72" s="103"/>
      <c r="Q72" s="103"/>
      <c r="R72" s="98"/>
      <c r="S72" s="98"/>
      <c r="T72" s="98"/>
      <c r="U72" s="104">
        <v>0.90300000000000002</v>
      </c>
      <c r="V72" s="175"/>
      <c r="W72" s="175"/>
      <c r="X72" s="101">
        <f t="shared" si="5"/>
        <v>0.90300000000000002</v>
      </c>
      <c r="Y72" s="221">
        <v>1603</v>
      </c>
      <c r="Z72" s="106" t="str">
        <f t="shared" si="4"/>
        <v>F</v>
      </c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</row>
    <row r="73" spans="1:38" s="107" customFormat="1">
      <c r="A73" s="97">
        <v>63</v>
      </c>
      <c r="B73" s="103" t="s">
        <v>168</v>
      </c>
      <c r="C73" s="103">
        <v>1989</v>
      </c>
      <c r="D73" s="103" t="s">
        <v>169</v>
      </c>
      <c r="E73" s="112" t="s">
        <v>172</v>
      </c>
      <c r="F73" s="134">
        <v>31749</v>
      </c>
      <c r="G73" s="98" t="s">
        <v>183</v>
      </c>
      <c r="H73" s="108" t="s">
        <v>146</v>
      </c>
      <c r="I73" s="174"/>
      <c r="J73" s="101" t="s">
        <v>1034</v>
      </c>
      <c r="K73" s="108" t="s">
        <v>1038</v>
      </c>
      <c r="L73" s="119" t="s">
        <v>182</v>
      </c>
      <c r="M73" s="119"/>
      <c r="N73" s="119"/>
      <c r="O73" s="119" t="s">
        <v>148</v>
      </c>
      <c r="P73" s="119"/>
      <c r="Q73" s="119"/>
      <c r="R73" s="98"/>
      <c r="S73" s="98"/>
      <c r="T73" s="98"/>
      <c r="U73" s="119"/>
      <c r="V73" s="119"/>
      <c r="W73" s="119"/>
      <c r="X73" s="101" t="str">
        <f t="shared" si="5"/>
        <v/>
      </c>
      <c r="Y73" s="223">
        <v>1748</v>
      </c>
      <c r="Z73" s="106" t="str">
        <f t="shared" si="4"/>
        <v/>
      </c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</row>
    <row r="74" spans="1:38" s="107" customFormat="1">
      <c r="A74" s="97">
        <v>173</v>
      </c>
      <c r="B74" s="98" t="s">
        <v>585</v>
      </c>
      <c r="C74" s="98">
        <v>2011</v>
      </c>
      <c r="D74" s="108" t="s">
        <v>636</v>
      </c>
      <c r="E74" s="99" t="s">
        <v>638</v>
      </c>
      <c r="F74" s="100" t="s">
        <v>665</v>
      </c>
      <c r="G74" s="98" t="s">
        <v>595</v>
      </c>
      <c r="H74" s="98" t="s">
        <v>146</v>
      </c>
      <c r="I74" s="98"/>
      <c r="J74" s="101" t="s">
        <v>1034</v>
      </c>
      <c r="K74" s="98" t="s">
        <v>1038</v>
      </c>
      <c r="L74" s="98" t="s">
        <v>663</v>
      </c>
      <c r="M74" s="109"/>
      <c r="N74" s="109"/>
      <c r="O74" s="98" t="s">
        <v>666</v>
      </c>
      <c r="P74" s="103"/>
      <c r="Q74" s="103"/>
      <c r="R74" s="98"/>
      <c r="S74" s="98"/>
      <c r="T74" s="98"/>
      <c r="U74" s="104">
        <v>0.93799999999999994</v>
      </c>
      <c r="V74" s="175"/>
      <c r="W74" s="175"/>
      <c r="X74" s="101">
        <f t="shared" si="5"/>
        <v>0.93799999999999994</v>
      </c>
      <c r="Y74" s="221">
        <v>1679</v>
      </c>
      <c r="Z74" s="106" t="str">
        <f t="shared" si="4"/>
        <v>F</v>
      </c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</row>
    <row r="75" spans="1:38" s="107" customFormat="1">
      <c r="A75" s="97">
        <v>172</v>
      </c>
      <c r="B75" s="98" t="s">
        <v>585</v>
      </c>
      <c r="C75" s="98">
        <v>2010</v>
      </c>
      <c r="D75" s="98" t="s">
        <v>586</v>
      </c>
      <c r="E75" s="99" t="s">
        <v>589</v>
      </c>
      <c r="F75" s="100">
        <v>40221</v>
      </c>
      <c r="G75" s="98" t="s">
        <v>595</v>
      </c>
      <c r="H75" s="98" t="s">
        <v>146</v>
      </c>
      <c r="I75" s="98"/>
      <c r="J75" s="101" t="s">
        <v>1034</v>
      </c>
      <c r="K75" s="98" t="s">
        <v>1038</v>
      </c>
      <c r="L75" s="98" t="s">
        <v>599</v>
      </c>
      <c r="M75" s="102" t="s">
        <v>600</v>
      </c>
      <c r="N75" s="102" t="s">
        <v>601</v>
      </c>
      <c r="O75" s="98"/>
      <c r="P75" s="103"/>
      <c r="Q75" s="103"/>
      <c r="R75" s="98"/>
      <c r="S75" s="98"/>
      <c r="T75" s="98"/>
      <c r="U75" s="103">
        <v>0.93899999999999995</v>
      </c>
      <c r="V75" s="103"/>
      <c r="W75" s="103"/>
      <c r="X75" s="101">
        <f t="shared" si="5"/>
        <v>0.93899999999999995</v>
      </c>
      <c r="Y75" s="125">
        <v>1724</v>
      </c>
      <c r="Z75" s="106" t="str">
        <f t="shared" si="4"/>
        <v>F</v>
      </c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</row>
    <row r="76" spans="1:38" s="107" customFormat="1">
      <c r="A76" s="97">
        <v>172</v>
      </c>
      <c r="B76" s="98" t="s">
        <v>585</v>
      </c>
      <c r="C76" s="98">
        <v>2010</v>
      </c>
      <c r="D76" s="98" t="s">
        <v>586</v>
      </c>
      <c r="E76" s="99" t="s">
        <v>589</v>
      </c>
      <c r="F76" s="100">
        <v>40220</v>
      </c>
      <c r="G76" s="98" t="s">
        <v>595</v>
      </c>
      <c r="H76" s="98" t="s">
        <v>146</v>
      </c>
      <c r="I76" s="98"/>
      <c r="J76" s="101" t="s">
        <v>1034</v>
      </c>
      <c r="K76" s="98" t="s">
        <v>1038</v>
      </c>
      <c r="L76" s="98" t="s">
        <v>596</v>
      </c>
      <c r="M76" s="102" t="s">
        <v>597</v>
      </c>
      <c r="N76" s="102" t="s">
        <v>598</v>
      </c>
      <c r="O76" s="98"/>
      <c r="P76" s="103"/>
      <c r="Q76" s="103"/>
      <c r="R76" s="98"/>
      <c r="S76" s="98"/>
      <c r="T76" s="98"/>
      <c r="U76" s="103">
        <v>0.94399999999999995</v>
      </c>
      <c r="V76" s="103"/>
      <c r="W76" s="103"/>
      <c r="X76" s="101">
        <f t="shared" si="5"/>
        <v>0.94399999999999995</v>
      </c>
      <c r="Y76" s="125">
        <v>1739</v>
      </c>
      <c r="Z76" s="106" t="str">
        <f t="shared" si="4"/>
        <v>F</v>
      </c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</row>
    <row r="77" spans="1:38" s="107" customFormat="1">
      <c r="A77" s="97">
        <v>173</v>
      </c>
      <c r="B77" s="98" t="s">
        <v>585</v>
      </c>
      <c r="C77" s="98">
        <v>2011</v>
      </c>
      <c r="D77" s="108" t="s">
        <v>636</v>
      </c>
      <c r="E77" s="99" t="s">
        <v>638</v>
      </c>
      <c r="F77" s="100" t="s">
        <v>673</v>
      </c>
      <c r="G77" s="98" t="s">
        <v>674</v>
      </c>
      <c r="H77" s="98" t="s">
        <v>146</v>
      </c>
      <c r="I77" s="98"/>
      <c r="J77" s="101" t="s">
        <v>1034</v>
      </c>
      <c r="K77" s="98" t="s">
        <v>1038</v>
      </c>
      <c r="L77" s="98" t="s">
        <v>675</v>
      </c>
      <c r="M77" s="109"/>
      <c r="N77" s="109"/>
      <c r="O77" s="98" t="s">
        <v>676</v>
      </c>
      <c r="P77" s="103"/>
      <c r="Q77" s="103"/>
      <c r="R77" s="98"/>
      <c r="S77" s="98"/>
      <c r="T77" s="98"/>
      <c r="U77" s="104">
        <v>0.94699999999999995</v>
      </c>
      <c r="V77" s="175"/>
      <c r="W77" s="175"/>
      <c r="X77" s="101">
        <f t="shared" si="5"/>
        <v>0.94699999999999995</v>
      </c>
      <c r="Y77" s="221">
        <v>1705</v>
      </c>
      <c r="Z77" s="106" t="str">
        <f t="shared" si="4"/>
        <v>F</v>
      </c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</row>
    <row r="78" spans="1:38" s="107" customFormat="1">
      <c r="A78" s="97">
        <v>173</v>
      </c>
      <c r="B78" s="98" t="s">
        <v>585</v>
      </c>
      <c r="C78" s="98">
        <v>2011</v>
      </c>
      <c r="D78" s="108" t="s">
        <v>636</v>
      </c>
      <c r="E78" s="99" t="s">
        <v>638</v>
      </c>
      <c r="F78" s="100" t="s">
        <v>662</v>
      </c>
      <c r="G78" s="98" t="s">
        <v>595</v>
      </c>
      <c r="H78" s="98" t="s">
        <v>146</v>
      </c>
      <c r="I78" s="98"/>
      <c r="J78" s="101" t="s">
        <v>1034</v>
      </c>
      <c r="K78" s="98" t="s">
        <v>1038</v>
      </c>
      <c r="L78" s="98" t="s">
        <v>663</v>
      </c>
      <c r="M78" s="109"/>
      <c r="N78" s="109"/>
      <c r="O78" s="98" t="s">
        <v>664</v>
      </c>
      <c r="P78" s="103"/>
      <c r="Q78" s="103"/>
      <c r="R78" s="98"/>
      <c r="S78" s="98"/>
      <c r="T78" s="98"/>
      <c r="U78" s="104">
        <v>0.95</v>
      </c>
      <c r="V78" s="175"/>
      <c r="W78" s="175"/>
      <c r="X78" s="101">
        <f t="shared" si="5"/>
        <v>0.95</v>
      </c>
      <c r="Y78" s="221">
        <v>1709</v>
      </c>
      <c r="Z78" s="106" t="str">
        <f t="shared" si="4"/>
        <v>F</v>
      </c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</row>
  </sheetData>
  <sortState ref="A2:Z78">
    <sortCondition ref="K2:K78"/>
    <sortCondition ref="Z2:Z78"/>
    <sortCondition ref="X2:X78"/>
  </sortState>
  <dataValidations count="1">
    <dataValidation showInputMessage="1" showErrorMessage="1" sqref="A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93"/>
  <sheetViews>
    <sheetView workbookViewId="0">
      <pane ySplit="560" topLeftCell="A582" activePane="bottomLeft"/>
      <selection sqref="A1:Z1"/>
      <selection pane="bottomLeft" activeCell="A656" sqref="A656"/>
    </sheetView>
  </sheetViews>
  <sheetFormatPr baseColWidth="10" defaultRowHeight="15" x14ac:dyDescent="0"/>
  <cols>
    <col min="1" max="1" width="11" bestFit="1" customWidth="1"/>
    <col min="2" max="2" width="18.83203125" bestFit="1" customWidth="1"/>
    <col min="3" max="3" width="11" bestFit="1" customWidth="1"/>
    <col min="4" max="4" width="10.83203125" customWidth="1"/>
    <col min="6" max="6" width="13.6640625" bestFit="1" customWidth="1"/>
    <col min="11" max="11" width="38.5" bestFit="1" customWidth="1"/>
    <col min="12" max="12" width="36" customWidth="1"/>
    <col min="15" max="15" width="21.6640625" customWidth="1"/>
    <col min="16" max="16" width="10.6640625" bestFit="1" customWidth="1"/>
    <col min="17" max="17" width="13.5" bestFit="1" customWidth="1"/>
    <col min="18" max="18" width="6" bestFit="1" customWidth="1"/>
    <col min="19" max="19" width="12" bestFit="1" customWidth="1"/>
    <col min="20" max="20" width="14.83203125" bestFit="1" customWidth="1"/>
    <col min="21" max="21" width="7.1640625" bestFit="1" customWidth="1"/>
    <col min="22" max="22" width="18.5" bestFit="1" customWidth="1"/>
    <col min="23" max="23" width="21.33203125" bestFit="1" customWidth="1"/>
    <col min="24" max="24" width="13.1640625" customWidth="1"/>
    <col min="25" max="25" width="12.33203125" bestFit="1" customWidth="1"/>
    <col min="27" max="27" width="23.83203125" bestFit="1" customWidth="1"/>
    <col min="29" max="29" width="12.33203125" bestFit="1" customWidth="1"/>
  </cols>
  <sheetData>
    <row r="1" spans="1:38">
      <c r="A1" s="1" t="s">
        <v>0</v>
      </c>
      <c r="B1" s="1" t="s">
        <v>1</v>
      </c>
      <c r="C1" s="2" t="s">
        <v>2</v>
      </c>
      <c r="D1" s="2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1156</v>
      </c>
      <c r="W1" s="36" t="s">
        <v>1155</v>
      </c>
      <c r="X1" s="36" t="s">
        <v>1174</v>
      </c>
      <c r="Y1" s="36" t="s">
        <v>1154</v>
      </c>
      <c r="Z1" s="36" t="s">
        <v>1176</v>
      </c>
      <c r="AA1" s="58"/>
      <c r="AB1" s="58"/>
      <c r="AC1" s="58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>
      <c r="A2" s="58"/>
      <c r="B2" s="64" t="s">
        <v>988</v>
      </c>
      <c r="C2" s="65">
        <v>1993</v>
      </c>
      <c r="D2" s="58"/>
      <c r="E2" s="64" t="s">
        <v>172</v>
      </c>
      <c r="F2" s="54">
        <v>1990</v>
      </c>
      <c r="G2" s="58"/>
      <c r="H2" s="66" t="s">
        <v>264</v>
      </c>
      <c r="I2" s="67" t="s">
        <v>1014</v>
      </c>
      <c r="J2" s="58" t="s">
        <v>1022</v>
      </c>
      <c r="K2" s="67" t="s">
        <v>1023</v>
      </c>
      <c r="L2" s="54" t="s">
        <v>989</v>
      </c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 t="str">
        <f t="shared" ref="X2:X65" si="0">IF(R2&lt;&gt;0,IF(R2&gt;1,R2/100,R2),IF(U2&lt;&gt;0,IF(U2&gt;1,U2/100,U2),""))</f>
        <v/>
      </c>
      <c r="Y2" s="205">
        <v>81</v>
      </c>
      <c r="Z2" s="63" t="str">
        <f t="shared" ref="Z2:Z33" si="1">IF(X2&lt;&gt;"",IF(X2&lt;0.9,"S","F"),"")</f>
        <v/>
      </c>
      <c r="AA2" s="184"/>
      <c r="AB2" s="184" t="s">
        <v>1206</v>
      </c>
      <c r="AC2" s="184" t="s">
        <v>1207</v>
      </c>
      <c r="AD2" s="184" t="s">
        <v>1208</v>
      </c>
      <c r="AE2" s="184" t="s">
        <v>1209</v>
      </c>
      <c r="AF2" s="184" t="s">
        <v>1210</v>
      </c>
      <c r="AG2" s="184" t="s">
        <v>1211</v>
      </c>
      <c r="AJ2" s="160"/>
      <c r="AK2" s="160"/>
      <c r="AL2" s="160"/>
    </row>
    <row r="3" spans="1:38">
      <c r="A3" s="58"/>
      <c r="B3" s="73" t="s">
        <v>985</v>
      </c>
      <c r="C3" s="54">
        <v>2011</v>
      </c>
      <c r="D3" s="58"/>
      <c r="E3" s="56" t="s">
        <v>172</v>
      </c>
      <c r="F3" s="58"/>
      <c r="G3" s="58"/>
      <c r="H3" s="66" t="s">
        <v>986</v>
      </c>
      <c r="I3" s="66" t="s">
        <v>1014</v>
      </c>
      <c r="J3" s="75" t="s">
        <v>1022</v>
      </c>
      <c r="K3" s="75" t="s">
        <v>1151</v>
      </c>
      <c r="L3" s="54" t="s">
        <v>987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 t="str">
        <f t="shared" si="0"/>
        <v/>
      </c>
      <c r="Y3" s="71">
        <v>113</v>
      </c>
      <c r="Z3" s="63" t="str">
        <f t="shared" si="1"/>
        <v/>
      </c>
      <c r="AA3" s="184" t="s">
        <v>1370</v>
      </c>
      <c r="AB3" s="155">
        <f>AVERAGE($Y$2:$Y$20)</f>
        <v>117.06876144157894</v>
      </c>
      <c r="AC3" s="155">
        <f>MEDIAN($Y$2:$Y$20)</f>
        <v>113</v>
      </c>
      <c r="AD3" s="155">
        <f>MAX($Y$2:$Y$20)</f>
        <v>175</v>
      </c>
      <c r="AE3" s="155">
        <f>MIN($Y$2:$Y$20)</f>
        <v>44.8</v>
      </c>
      <c r="AF3" s="155">
        <f>STDEV($Y$2:$Y$20)</f>
        <v>41.855159804038003</v>
      </c>
      <c r="AG3" s="242">
        <f>COUNT($Y$2:$Y$20)</f>
        <v>19</v>
      </c>
      <c r="AJ3" s="160"/>
      <c r="AK3" s="160"/>
      <c r="AL3" s="160"/>
    </row>
    <row r="4" spans="1:38">
      <c r="A4" s="53">
        <v>121</v>
      </c>
      <c r="B4" s="65" t="s">
        <v>427</v>
      </c>
      <c r="C4" s="65">
        <v>2002</v>
      </c>
      <c r="D4" s="65" t="s">
        <v>428</v>
      </c>
      <c r="E4" s="56" t="s">
        <v>430</v>
      </c>
      <c r="F4" s="54">
        <v>2002</v>
      </c>
      <c r="G4" s="54" t="s">
        <v>434</v>
      </c>
      <c r="H4" s="54" t="s">
        <v>1135</v>
      </c>
      <c r="I4" s="54"/>
      <c r="J4" s="54" t="s">
        <v>1022</v>
      </c>
      <c r="K4" s="54" t="s">
        <v>1161</v>
      </c>
      <c r="L4" s="54" t="s">
        <v>435</v>
      </c>
      <c r="M4" s="54" t="s">
        <v>449</v>
      </c>
      <c r="N4" s="54" t="s">
        <v>450</v>
      </c>
      <c r="O4" s="54" t="s">
        <v>451</v>
      </c>
      <c r="P4" s="54"/>
      <c r="Q4" s="54"/>
      <c r="R4" s="54"/>
      <c r="S4" s="54"/>
      <c r="T4" s="54"/>
      <c r="U4" s="54"/>
      <c r="V4" s="54"/>
      <c r="W4" s="54"/>
      <c r="X4" s="58" t="str">
        <f t="shared" si="0"/>
        <v/>
      </c>
      <c r="Y4" s="71">
        <v>112</v>
      </c>
      <c r="Z4" s="63" t="str">
        <f t="shared" si="1"/>
        <v/>
      </c>
      <c r="AA4" s="184" t="s">
        <v>1371</v>
      </c>
      <c r="AB4" s="185">
        <f>AVERAGE($Y$6:$Y$12)</f>
        <v>73.486638198571427</v>
      </c>
      <c r="AC4" s="185">
        <f>MEDIAN($Y$6:$Y$12)</f>
        <v>69.3</v>
      </c>
      <c r="AD4" s="185">
        <f>MAX($Y$6:$Y$12)</f>
        <v>96.5</v>
      </c>
      <c r="AE4" s="185">
        <f>MIN($Y$6:$Y$12)</f>
        <v>44.8</v>
      </c>
      <c r="AF4" s="185">
        <f>STDEV($Y$6:$Y$12)</f>
        <v>19.066770779443186</v>
      </c>
      <c r="AG4" s="186">
        <f>COUNT($Y$6:$Y$12)</f>
        <v>7</v>
      </c>
      <c r="AJ4" s="160"/>
      <c r="AK4" s="160"/>
      <c r="AL4" s="160"/>
    </row>
    <row r="5" spans="1:38">
      <c r="A5" s="53">
        <v>63</v>
      </c>
      <c r="B5" s="65" t="s">
        <v>168</v>
      </c>
      <c r="C5" s="65">
        <v>1989</v>
      </c>
      <c r="D5" s="65" t="s">
        <v>169</v>
      </c>
      <c r="E5" s="76" t="s">
        <v>172</v>
      </c>
      <c r="F5" s="77">
        <v>32367</v>
      </c>
      <c r="G5" s="54" t="s">
        <v>185</v>
      </c>
      <c r="H5" s="78" t="s">
        <v>1135</v>
      </c>
      <c r="I5" s="78"/>
      <c r="J5" s="58" t="s">
        <v>1022</v>
      </c>
      <c r="K5" s="78" t="s">
        <v>1041</v>
      </c>
      <c r="L5" s="79"/>
      <c r="M5" s="79"/>
      <c r="N5" s="79"/>
      <c r="O5" s="79" t="s">
        <v>186</v>
      </c>
      <c r="P5" s="79"/>
      <c r="Q5" s="79"/>
      <c r="R5" s="54"/>
      <c r="S5" s="54"/>
      <c r="T5" s="54"/>
      <c r="U5" s="80"/>
      <c r="V5" s="165"/>
      <c r="W5" s="165"/>
      <c r="X5" s="58" t="str">
        <f t="shared" si="0"/>
        <v/>
      </c>
      <c r="Y5" s="82">
        <v>175</v>
      </c>
      <c r="Z5" s="63" t="str">
        <f t="shared" si="1"/>
        <v/>
      </c>
      <c r="AA5" s="184" t="s">
        <v>1372</v>
      </c>
      <c r="AB5" s="185">
        <f>AVERAGE($Y$13:$Y$20)</f>
        <v>153.61250000000001</v>
      </c>
      <c r="AC5" s="185">
        <f>MEDIAN($Y$13:$Y$20)</f>
        <v>152.05000000000001</v>
      </c>
      <c r="AD5" s="185">
        <f>MAX($Y$13:$Y$20)</f>
        <v>172.2</v>
      </c>
      <c r="AE5" s="185">
        <f>MIN($Y$13:$Y$20)</f>
        <v>139.1</v>
      </c>
      <c r="AF5" s="185">
        <f>STDEV($Y$13:$Y$20)</f>
        <v>9.8090974537488815</v>
      </c>
      <c r="AG5" s="186">
        <f>COUNT($Y$13:$Y$20)</f>
        <v>8</v>
      </c>
      <c r="AH5" s="160"/>
      <c r="AI5" s="160"/>
      <c r="AJ5" s="160"/>
      <c r="AK5" s="160"/>
      <c r="AL5" s="160"/>
    </row>
    <row r="6" spans="1:38">
      <c r="A6" s="53">
        <v>174</v>
      </c>
      <c r="B6" s="54" t="s">
        <v>697</v>
      </c>
      <c r="C6" s="54">
        <v>2009</v>
      </c>
      <c r="D6" s="55" t="s">
        <v>698</v>
      </c>
      <c r="E6" s="56" t="s">
        <v>20</v>
      </c>
      <c r="F6" s="57" t="s">
        <v>701</v>
      </c>
      <c r="G6" s="54" t="s">
        <v>263</v>
      </c>
      <c r="H6" s="54" t="s">
        <v>264</v>
      </c>
      <c r="I6" s="54"/>
      <c r="J6" s="58" t="s">
        <v>1022</v>
      </c>
      <c r="K6" s="54" t="s">
        <v>1047</v>
      </c>
      <c r="L6" s="54" t="s">
        <v>737</v>
      </c>
      <c r="M6" s="59"/>
      <c r="N6" s="59"/>
      <c r="O6" s="54" t="s">
        <v>737</v>
      </c>
      <c r="P6" s="60"/>
      <c r="Q6" s="60"/>
      <c r="R6" s="54"/>
      <c r="S6" s="54"/>
      <c r="T6" s="54"/>
      <c r="U6" s="61">
        <v>0.95699999999999996</v>
      </c>
      <c r="V6" s="61"/>
      <c r="W6" s="61"/>
      <c r="X6" s="58">
        <f t="shared" si="0"/>
        <v>0.95699999999999996</v>
      </c>
      <c r="Y6" s="71">
        <v>44.8</v>
      </c>
      <c r="Z6" s="63" t="str">
        <f t="shared" si="1"/>
        <v>F</v>
      </c>
      <c r="AA6" s="58"/>
      <c r="AD6" s="160"/>
      <c r="AE6" s="160"/>
      <c r="AF6" s="160"/>
      <c r="AG6" s="160"/>
      <c r="AH6" s="160"/>
      <c r="AI6" s="160"/>
      <c r="AJ6" s="160"/>
      <c r="AK6" s="160"/>
      <c r="AL6" s="160"/>
    </row>
    <row r="7" spans="1:38">
      <c r="A7" s="53">
        <v>203</v>
      </c>
      <c r="B7" s="64" t="s">
        <v>940</v>
      </c>
      <c r="C7" s="96">
        <v>2011</v>
      </c>
      <c r="D7" s="64" t="s">
        <v>941</v>
      </c>
      <c r="E7" s="56" t="s">
        <v>20</v>
      </c>
      <c r="F7" s="54">
        <v>2009</v>
      </c>
      <c r="G7" s="54" t="s">
        <v>326</v>
      </c>
      <c r="H7" s="54"/>
      <c r="I7" s="54"/>
      <c r="J7" s="66" t="s">
        <v>1022</v>
      </c>
      <c r="K7" s="54" t="s">
        <v>1023</v>
      </c>
      <c r="L7" s="54" t="s">
        <v>737</v>
      </c>
      <c r="M7" s="54"/>
      <c r="N7" s="54"/>
      <c r="O7" s="54">
        <v>66</v>
      </c>
      <c r="P7" s="54"/>
      <c r="Q7" s="54"/>
      <c r="R7" s="54"/>
      <c r="S7" s="54"/>
      <c r="T7" s="54"/>
      <c r="U7" s="54">
        <v>0.95</v>
      </c>
      <c r="V7" s="54"/>
      <c r="W7" s="54"/>
      <c r="X7" s="58">
        <f t="shared" si="0"/>
        <v>0.95</v>
      </c>
      <c r="Y7" s="71">
        <v>60.2</v>
      </c>
      <c r="Z7" s="63" t="str">
        <f t="shared" si="1"/>
        <v>F</v>
      </c>
      <c r="AA7" s="58"/>
      <c r="AD7" s="160"/>
      <c r="AE7" s="160"/>
      <c r="AF7" s="160"/>
      <c r="AG7" s="160"/>
      <c r="AH7" s="160"/>
      <c r="AI7" s="160"/>
      <c r="AJ7" s="160"/>
      <c r="AK7" s="160"/>
      <c r="AL7" s="160"/>
    </row>
    <row r="8" spans="1:38">
      <c r="A8" s="53">
        <v>181</v>
      </c>
      <c r="B8" s="54" t="s">
        <v>766</v>
      </c>
      <c r="C8" s="54">
        <v>2009</v>
      </c>
      <c r="D8" s="83" t="s">
        <v>767</v>
      </c>
      <c r="E8" s="84" t="s">
        <v>49</v>
      </c>
      <c r="F8" s="85" t="s">
        <v>841</v>
      </c>
      <c r="G8" s="54" t="s">
        <v>842</v>
      </c>
      <c r="H8" s="74" t="s">
        <v>790</v>
      </c>
      <c r="I8" s="74"/>
      <c r="J8" s="74" t="s">
        <v>1022</v>
      </c>
      <c r="K8" s="58"/>
      <c r="L8" s="85" t="s">
        <v>782</v>
      </c>
      <c r="M8" s="85" t="s">
        <v>843</v>
      </c>
      <c r="N8" s="85"/>
      <c r="O8" s="85" t="s">
        <v>844</v>
      </c>
      <c r="P8" s="85"/>
      <c r="Q8" s="85"/>
      <c r="R8" s="54"/>
      <c r="S8" s="54"/>
      <c r="T8" s="54"/>
      <c r="U8" s="85">
        <v>0.94199999999999995</v>
      </c>
      <c r="V8" s="166"/>
      <c r="W8" s="166"/>
      <c r="X8" s="58">
        <f t="shared" si="0"/>
        <v>0.94199999999999995</v>
      </c>
      <c r="Y8" s="87">
        <v>65.906467390000003</v>
      </c>
      <c r="Z8" s="63" t="str">
        <f t="shared" si="1"/>
        <v>F</v>
      </c>
      <c r="AA8" s="58"/>
      <c r="AD8" s="160"/>
      <c r="AE8" s="160"/>
      <c r="AF8" s="160"/>
      <c r="AG8" s="160"/>
      <c r="AH8" s="160"/>
      <c r="AI8" s="160"/>
      <c r="AJ8" s="160"/>
      <c r="AK8" s="160"/>
      <c r="AL8" s="160"/>
    </row>
    <row r="9" spans="1:38">
      <c r="A9" s="53">
        <v>203</v>
      </c>
      <c r="B9" s="64" t="s">
        <v>940</v>
      </c>
      <c r="C9" s="96">
        <v>2011</v>
      </c>
      <c r="D9" s="64" t="s">
        <v>941</v>
      </c>
      <c r="E9" s="56" t="s">
        <v>20</v>
      </c>
      <c r="F9" s="54">
        <v>2009</v>
      </c>
      <c r="G9" s="54" t="s">
        <v>326</v>
      </c>
      <c r="H9" s="54"/>
      <c r="I9" s="54"/>
      <c r="J9" s="66" t="s">
        <v>1022</v>
      </c>
      <c r="K9" s="54" t="s">
        <v>1114</v>
      </c>
      <c r="L9" s="54" t="s">
        <v>744</v>
      </c>
      <c r="M9" s="54"/>
      <c r="N9" s="54"/>
      <c r="O9" s="54">
        <v>55</v>
      </c>
      <c r="P9" s="54"/>
      <c r="Q9" s="54"/>
      <c r="R9" s="54"/>
      <c r="S9" s="54"/>
      <c r="T9" s="54"/>
      <c r="U9" s="54">
        <v>0.94</v>
      </c>
      <c r="V9" s="54"/>
      <c r="W9" s="54"/>
      <c r="X9" s="58">
        <f t="shared" si="0"/>
        <v>0.94</v>
      </c>
      <c r="Y9" s="71">
        <v>69.3</v>
      </c>
      <c r="Z9" s="63" t="str">
        <f t="shared" si="1"/>
        <v>F</v>
      </c>
      <c r="AA9" s="58"/>
      <c r="AB9" s="58"/>
      <c r="AC9" s="58"/>
      <c r="AD9" s="160"/>
      <c r="AE9" s="160"/>
      <c r="AF9" s="160"/>
      <c r="AG9" s="160"/>
      <c r="AH9" s="160"/>
      <c r="AI9" s="160"/>
      <c r="AJ9" s="160"/>
      <c r="AK9" s="160"/>
      <c r="AL9" s="160"/>
    </row>
    <row r="10" spans="1:38">
      <c r="A10" s="53">
        <v>119</v>
      </c>
      <c r="B10" s="65" t="s">
        <v>399</v>
      </c>
      <c r="C10" s="65">
        <v>2000</v>
      </c>
      <c r="D10" s="65" t="s">
        <v>407</v>
      </c>
      <c r="E10" s="56" t="s">
        <v>410</v>
      </c>
      <c r="F10" s="69">
        <v>35603</v>
      </c>
      <c r="G10" s="54" t="s">
        <v>422</v>
      </c>
      <c r="H10" s="54" t="s">
        <v>264</v>
      </c>
      <c r="I10" s="54" t="s">
        <v>1014</v>
      </c>
      <c r="J10" s="66" t="s">
        <v>1022</v>
      </c>
      <c r="K10" s="54" t="s">
        <v>1023</v>
      </c>
      <c r="L10" s="54" t="s">
        <v>419</v>
      </c>
      <c r="M10" s="54" t="s">
        <v>265</v>
      </c>
      <c r="N10" s="60"/>
      <c r="O10" s="60" t="s">
        <v>423</v>
      </c>
      <c r="P10" s="54"/>
      <c r="Q10" s="54"/>
      <c r="R10" s="60"/>
      <c r="S10" s="60"/>
      <c r="T10" s="60"/>
      <c r="U10" s="54">
        <v>0.92900000000000005</v>
      </c>
      <c r="V10" s="60"/>
      <c r="W10" s="60"/>
      <c r="X10" s="58">
        <f t="shared" si="0"/>
        <v>0.92900000000000005</v>
      </c>
      <c r="Y10" s="71">
        <v>81.599999999999994</v>
      </c>
      <c r="Z10" s="63" t="str">
        <f t="shared" si="1"/>
        <v>F</v>
      </c>
      <c r="AA10" s="58"/>
      <c r="AB10" s="58"/>
      <c r="AC10" s="58"/>
      <c r="AD10" s="160"/>
      <c r="AE10" s="160"/>
      <c r="AF10" s="160"/>
      <c r="AG10" s="160"/>
      <c r="AH10" s="160"/>
      <c r="AI10" s="160"/>
      <c r="AJ10" s="160"/>
      <c r="AK10" s="160"/>
      <c r="AL10" s="160"/>
    </row>
    <row r="11" spans="1:38">
      <c r="A11" s="53">
        <v>119</v>
      </c>
      <c r="B11" s="65" t="s">
        <v>399</v>
      </c>
      <c r="C11" s="65">
        <v>2000</v>
      </c>
      <c r="D11" s="65" t="s">
        <v>407</v>
      </c>
      <c r="E11" s="56" t="s">
        <v>410</v>
      </c>
      <c r="F11" s="54" t="s">
        <v>424</v>
      </c>
      <c r="G11" s="54" t="s">
        <v>425</v>
      </c>
      <c r="H11" s="54" t="s">
        <v>264</v>
      </c>
      <c r="I11" s="54" t="s">
        <v>1014</v>
      </c>
      <c r="J11" s="66" t="s">
        <v>1022</v>
      </c>
      <c r="K11" s="54" t="s">
        <v>1023</v>
      </c>
      <c r="L11" s="54" t="s">
        <v>419</v>
      </c>
      <c r="M11" s="54" t="s">
        <v>265</v>
      </c>
      <c r="N11" s="54" t="s">
        <v>420</v>
      </c>
      <c r="O11" s="60" t="s">
        <v>426</v>
      </c>
      <c r="P11" s="54"/>
      <c r="Q11" s="54"/>
      <c r="R11" s="60"/>
      <c r="S11" s="60"/>
      <c r="T11" s="60"/>
      <c r="U11" s="54">
        <v>0.91700000000000004</v>
      </c>
      <c r="V11" s="60"/>
      <c r="W11" s="60"/>
      <c r="X11" s="58">
        <f t="shared" si="0"/>
        <v>0.91700000000000004</v>
      </c>
      <c r="Y11" s="71">
        <v>96.1</v>
      </c>
      <c r="Z11" s="63" t="str">
        <f t="shared" si="1"/>
        <v>F</v>
      </c>
      <c r="AA11" s="58"/>
      <c r="AB11" s="58"/>
      <c r="AC11" s="58"/>
      <c r="AD11" s="160"/>
      <c r="AE11" s="160"/>
      <c r="AF11" s="160"/>
      <c r="AG11" s="160"/>
      <c r="AH11" s="160"/>
      <c r="AI11" s="160"/>
      <c r="AJ11" s="160"/>
      <c r="AK11" s="160"/>
      <c r="AL11" s="160"/>
    </row>
    <row r="12" spans="1:38">
      <c r="A12" s="53">
        <v>119</v>
      </c>
      <c r="B12" s="65" t="s">
        <v>399</v>
      </c>
      <c r="C12" s="65">
        <v>2000</v>
      </c>
      <c r="D12" s="65" t="s">
        <v>407</v>
      </c>
      <c r="E12" s="56" t="s">
        <v>410</v>
      </c>
      <c r="F12" s="54" t="s">
        <v>417</v>
      </c>
      <c r="G12" s="54" t="s">
        <v>418</v>
      </c>
      <c r="H12" s="54" t="s">
        <v>264</v>
      </c>
      <c r="I12" s="54" t="s">
        <v>1014</v>
      </c>
      <c r="J12" s="66" t="s">
        <v>1022</v>
      </c>
      <c r="K12" s="54" t="s">
        <v>1023</v>
      </c>
      <c r="L12" s="54" t="s">
        <v>419</v>
      </c>
      <c r="M12" s="54" t="s">
        <v>265</v>
      </c>
      <c r="N12" s="54" t="s">
        <v>420</v>
      </c>
      <c r="O12" s="54" t="s">
        <v>421</v>
      </c>
      <c r="P12" s="54"/>
      <c r="Q12" s="54"/>
      <c r="R12" s="54"/>
      <c r="S12" s="54"/>
      <c r="T12" s="54"/>
      <c r="U12" s="54">
        <v>0.91600000000000004</v>
      </c>
      <c r="V12" s="54"/>
      <c r="W12" s="54"/>
      <c r="X12" s="58">
        <f t="shared" si="0"/>
        <v>0.91600000000000004</v>
      </c>
      <c r="Y12" s="71">
        <v>96.5</v>
      </c>
      <c r="Z12" s="63" t="str">
        <f t="shared" si="1"/>
        <v>F</v>
      </c>
      <c r="AA12" s="58"/>
      <c r="AB12" s="58"/>
      <c r="AC12" s="58"/>
      <c r="AD12" s="160"/>
      <c r="AE12" s="160"/>
      <c r="AF12" s="160"/>
      <c r="AG12" s="160"/>
      <c r="AH12" s="160"/>
      <c r="AI12" s="160"/>
      <c r="AJ12" s="160"/>
      <c r="AK12" s="160"/>
      <c r="AL12" s="160"/>
    </row>
    <row r="13" spans="1:38">
      <c r="A13" s="58"/>
      <c r="B13" s="73" t="s">
        <v>766</v>
      </c>
      <c r="C13" s="54">
        <v>2013</v>
      </c>
      <c r="D13" s="58"/>
      <c r="E13" s="56" t="s">
        <v>172</v>
      </c>
      <c r="F13" s="54">
        <v>2011</v>
      </c>
      <c r="G13" s="54" t="s">
        <v>970</v>
      </c>
      <c r="H13" s="58" t="s">
        <v>302</v>
      </c>
      <c r="I13" s="58"/>
      <c r="J13" s="74" t="s">
        <v>1022</v>
      </c>
      <c r="K13" s="74" t="s">
        <v>1114</v>
      </c>
      <c r="L13" s="54" t="s">
        <v>973</v>
      </c>
      <c r="M13" s="58"/>
      <c r="N13" s="58"/>
      <c r="O13" s="66" t="s">
        <v>971</v>
      </c>
      <c r="P13" s="58"/>
      <c r="Q13" s="58"/>
      <c r="R13" s="58"/>
      <c r="S13" s="58"/>
      <c r="T13" s="58"/>
      <c r="U13" s="54">
        <v>0.879</v>
      </c>
      <c r="V13" s="58"/>
      <c r="W13" s="58"/>
      <c r="X13" s="58">
        <f t="shared" si="0"/>
        <v>0.879</v>
      </c>
      <c r="Y13" s="71">
        <v>139.1</v>
      </c>
      <c r="Z13" s="63" t="str">
        <f t="shared" si="1"/>
        <v>S</v>
      </c>
      <c r="AA13" s="58"/>
      <c r="AB13" s="58"/>
      <c r="AC13" s="58"/>
      <c r="AD13" s="160"/>
      <c r="AE13" s="160"/>
      <c r="AF13" s="160"/>
      <c r="AG13" s="160"/>
      <c r="AH13" s="160"/>
      <c r="AI13" s="160"/>
      <c r="AJ13" s="160"/>
      <c r="AK13" s="160"/>
      <c r="AL13" s="160"/>
    </row>
    <row r="14" spans="1:38">
      <c r="A14" s="58"/>
      <c r="B14" s="73" t="s">
        <v>766</v>
      </c>
      <c r="C14" s="54">
        <v>2013</v>
      </c>
      <c r="D14" s="58"/>
      <c r="E14" s="56" t="s">
        <v>172</v>
      </c>
      <c r="F14" s="54">
        <v>2011</v>
      </c>
      <c r="G14" s="54" t="s">
        <v>970</v>
      </c>
      <c r="H14" s="58" t="s">
        <v>302</v>
      </c>
      <c r="I14" s="58"/>
      <c r="J14" s="74" t="s">
        <v>1022</v>
      </c>
      <c r="K14" s="74" t="s">
        <v>1114</v>
      </c>
      <c r="L14" s="54" t="s">
        <v>973</v>
      </c>
      <c r="M14" s="58"/>
      <c r="N14" s="58"/>
      <c r="O14" s="66" t="s">
        <v>971</v>
      </c>
      <c r="P14" s="58"/>
      <c r="Q14" s="58"/>
      <c r="R14" s="58"/>
      <c r="S14" s="58"/>
      <c r="T14" s="58"/>
      <c r="U14" s="54">
        <v>0.873</v>
      </c>
      <c r="V14" s="58"/>
      <c r="W14" s="58"/>
      <c r="X14" s="58">
        <f t="shared" si="0"/>
        <v>0.873</v>
      </c>
      <c r="Y14" s="71">
        <v>146.5</v>
      </c>
      <c r="Z14" s="63" t="str">
        <f t="shared" si="1"/>
        <v>S</v>
      </c>
      <c r="AA14" s="58"/>
      <c r="AB14" s="58"/>
      <c r="AC14" s="58"/>
      <c r="AD14" s="160"/>
      <c r="AE14" s="160"/>
      <c r="AF14" s="160"/>
      <c r="AG14" s="160"/>
      <c r="AH14" s="160"/>
      <c r="AI14" s="160"/>
      <c r="AJ14" s="160"/>
      <c r="AK14" s="160"/>
      <c r="AL14" s="160"/>
    </row>
    <row r="15" spans="1:38">
      <c r="A15" s="58"/>
      <c r="B15" s="73" t="s">
        <v>766</v>
      </c>
      <c r="C15" s="54">
        <v>2013</v>
      </c>
      <c r="D15" s="58"/>
      <c r="E15" s="56" t="s">
        <v>172</v>
      </c>
      <c r="F15" s="54">
        <v>2011</v>
      </c>
      <c r="G15" s="54" t="s">
        <v>970</v>
      </c>
      <c r="H15" s="58" t="s">
        <v>302</v>
      </c>
      <c r="I15" s="58"/>
      <c r="J15" s="74" t="s">
        <v>1022</v>
      </c>
      <c r="K15" s="74" t="s">
        <v>1114</v>
      </c>
      <c r="L15" s="54" t="s">
        <v>973</v>
      </c>
      <c r="M15" s="58"/>
      <c r="N15" s="58"/>
      <c r="O15" s="66" t="s">
        <v>971</v>
      </c>
      <c r="P15" s="58"/>
      <c r="Q15" s="58"/>
      <c r="R15" s="58"/>
      <c r="S15" s="58"/>
      <c r="T15" s="58"/>
      <c r="U15" s="54">
        <v>0.86899999999999999</v>
      </c>
      <c r="V15" s="58"/>
      <c r="W15" s="58"/>
      <c r="X15" s="58">
        <f t="shared" si="0"/>
        <v>0.86899999999999999</v>
      </c>
      <c r="Y15" s="71">
        <v>150.80000000000001</v>
      </c>
      <c r="Z15" s="63" t="str">
        <f t="shared" si="1"/>
        <v>S</v>
      </c>
      <c r="AA15" s="58"/>
      <c r="AB15" s="58"/>
      <c r="AC15" s="58"/>
      <c r="AD15" s="160"/>
      <c r="AE15" s="160"/>
      <c r="AF15" s="160"/>
      <c r="AG15" s="160"/>
      <c r="AH15" s="160"/>
      <c r="AI15" s="160"/>
      <c r="AJ15" s="160"/>
      <c r="AK15" s="160"/>
      <c r="AL15" s="160"/>
    </row>
    <row r="16" spans="1:38">
      <c r="A16" s="58"/>
      <c r="B16" s="73" t="s">
        <v>766</v>
      </c>
      <c r="C16" s="54">
        <v>2013</v>
      </c>
      <c r="D16" s="58"/>
      <c r="E16" s="56" t="s">
        <v>172</v>
      </c>
      <c r="F16" s="54">
        <v>2011</v>
      </c>
      <c r="G16" s="54" t="s">
        <v>970</v>
      </c>
      <c r="H16" s="58" t="s">
        <v>302</v>
      </c>
      <c r="I16" s="58"/>
      <c r="J16" s="74" t="s">
        <v>1022</v>
      </c>
      <c r="K16" s="74" t="s">
        <v>1114</v>
      </c>
      <c r="L16" s="54" t="s">
        <v>973</v>
      </c>
      <c r="M16" s="58"/>
      <c r="N16" s="58"/>
      <c r="O16" s="66" t="s">
        <v>971</v>
      </c>
      <c r="P16" s="58"/>
      <c r="Q16" s="58"/>
      <c r="R16" s="58"/>
      <c r="S16" s="58"/>
      <c r="T16" s="58"/>
      <c r="U16" s="54">
        <v>0.86799999999999999</v>
      </c>
      <c r="V16" s="58"/>
      <c r="W16" s="58"/>
      <c r="X16" s="58">
        <f t="shared" si="0"/>
        <v>0.86799999999999999</v>
      </c>
      <c r="Y16" s="71">
        <v>151.69999999999999</v>
      </c>
      <c r="Z16" s="63" t="str">
        <f t="shared" si="1"/>
        <v>S</v>
      </c>
      <c r="AA16" s="58"/>
      <c r="AB16" s="58"/>
      <c r="AC16" s="58"/>
      <c r="AD16" s="160"/>
      <c r="AE16" s="160"/>
      <c r="AF16" s="160"/>
      <c r="AG16" s="160"/>
      <c r="AH16" s="160"/>
      <c r="AI16" s="160"/>
      <c r="AJ16" s="160"/>
      <c r="AK16" s="160"/>
      <c r="AL16" s="160"/>
    </row>
    <row r="17" spans="1:38">
      <c r="A17" s="58"/>
      <c r="B17" s="73" t="s">
        <v>766</v>
      </c>
      <c r="C17" s="54">
        <v>2013</v>
      </c>
      <c r="D17" s="58"/>
      <c r="E17" s="56" t="s">
        <v>172</v>
      </c>
      <c r="F17" s="54">
        <v>2011</v>
      </c>
      <c r="G17" s="54" t="s">
        <v>970</v>
      </c>
      <c r="H17" s="58" t="s">
        <v>302</v>
      </c>
      <c r="I17" s="58"/>
      <c r="J17" s="74" t="s">
        <v>1022</v>
      </c>
      <c r="K17" s="74" t="s">
        <v>1114</v>
      </c>
      <c r="L17" s="54" t="s">
        <v>973</v>
      </c>
      <c r="M17" s="58"/>
      <c r="N17" s="58"/>
      <c r="O17" s="66" t="s">
        <v>971</v>
      </c>
      <c r="P17" s="58"/>
      <c r="Q17" s="58"/>
      <c r="R17" s="58"/>
      <c r="S17" s="58"/>
      <c r="T17" s="58"/>
      <c r="U17" s="54">
        <v>0.86799999999999999</v>
      </c>
      <c r="V17" s="58"/>
      <c r="W17" s="58"/>
      <c r="X17" s="58">
        <f t="shared" si="0"/>
        <v>0.86799999999999999</v>
      </c>
      <c r="Y17" s="71">
        <v>152.4</v>
      </c>
      <c r="Z17" s="63" t="str">
        <f t="shared" si="1"/>
        <v>S</v>
      </c>
      <c r="AA17" s="58"/>
      <c r="AB17" s="58"/>
      <c r="AC17" s="58"/>
      <c r="AD17" s="160"/>
      <c r="AE17" s="160"/>
      <c r="AF17" s="160"/>
      <c r="AG17" s="160"/>
      <c r="AH17" s="160"/>
      <c r="AI17" s="160"/>
      <c r="AJ17" s="160"/>
      <c r="AK17" s="160"/>
      <c r="AL17" s="160"/>
    </row>
    <row r="18" spans="1:38">
      <c r="A18" s="58"/>
      <c r="B18" s="73" t="s">
        <v>766</v>
      </c>
      <c r="C18" s="54">
        <v>2013</v>
      </c>
      <c r="D18" s="58"/>
      <c r="E18" s="56" t="s">
        <v>172</v>
      </c>
      <c r="F18" s="54">
        <v>2011</v>
      </c>
      <c r="G18" s="54" t="s">
        <v>970</v>
      </c>
      <c r="H18" s="58" t="s">
        <v>302</v>
      </c>
      <c r="I18" s="58"/>
      <c r="J18" s="74" t="s">
        <v>1022</v>
      </c>
      <c r="K18" s="74" t="s">
        <v>1114</v>
      </c>
      <c r="L18" s="54" t="s">
        <v>973</v>
      </c>
      <c r="M18" s="58"/>
      <c r="N18" s="58"/>
      <c r="O18" s="66" t="s">
        <v>971</v>
      </c>
      <c r="P18" s="58"/>
      <c r="Q18" s="58"/>
      <c r="R18" s="58"/>
      <c r="S18" s="58"/>
      <c r="T18" s="58"/>
      <c r="U18" s="54">
        <v>0.86499999999999999</v>
      </c>
      <c r="V18" s="58"/>
      <c r="W18" s="58"/>
      <c r="X18" s="58">
        <f t="shared" si="0"/>
        <v>0.86499999999999999</v>
      </c>
      <c r="Y18" s="71">
        <v>155.5</v>
      </c>
      <c r="Z18" s="63" t="str">
        <f t="shared" si="1"/>
        <v>S</v>
      </c>
      <c r="AA18" s="58"/>
      <c r="AB18" s="58"/>
      <c r="AC18" s="58"/>
      <c r="AD18" s="160"/>
      <c r="AE18" s="160"/>
      <c r="AF18" s="160"/>
      <c r="AG18" s="160"/>
      <c r="AH18" s="160"/>
      <c r="AI18" s="160"/>
      <c r="AJ18" s="160"/>
      <c r="AK18" s="160"/>
      <c r="AL18" s="160"/>
    </row>
    <row r="19" spans="1:38">
      <c r="A19" s="58"/>
      <c r="B19" s="73" t="s">
        <v>766</v>
      </c>
      <c r="C19" s="54">
        <v>2013</v>
      </c>
      <c r="D19" s="58"/>
      <c r="E19" s="56" t="s">
        <v>172</v>
      </c>
      <c r="F19" s="54">
        <v>2011</v>
      </c>
      <c r="G19" s="54" t="s">
        <v>970</v>
      </c>
      <c r="H19" s="58" t="s">
        <v>302</v>
      </c>
      <c r="I19" s="58"/>
      <c r="J19" s="74" t="s">
        <v>1022</v>
      </c>
      <c r="K19" s="74" t="s">
        <v>1114</v>
      </c>
      <c r="L19" s="54" t="s">
        <v>973</v>
      </c>
      <c r="M19" s="58"/>
      <c r="N19" s="58"/>
      <c r="O19" s="66" t="s">
        <v>971</v>
      </c>
      <c r="P19" s="58"/>
      <c r="Q19" s="58"/>
      <c r="R19" s="58"/>
      <c r="S19" s="58"/>
      <c r="T19" s="58"/>
      <c r="U19" s="54">
        <v>0.86099999999999999</v>
      </c>
      <c r="V19" s="58"/>
      <c r="W19" s="58"/>
      <c r="X19" s="58">
        <f t="shared" si="0"/>
        <v>0.86099999999999999</v>
      </c>
      <c r="Y19" s="71">
        <v>160.69999999999999</v>
      </c>
      <c r="Z19" s="63" t="str">
        <f t="shared" si="1"/>
        <v>S</v>
      </c>
      <c r="AA19" s="58"/>
      <c r="AB19" s="58"/>
      <c r="AC19" s="58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>
      <c r="A20" s="58"/>
      <c r="B20" s="73" t="s">
        <v>766</v>
      </c>
      <c r="C20" s="54">
        <v>2013</v>
      </c>
      <c r="D20" s="58"/>
      <c r="E20" s="56" t="s">
        <v>172</v>
      </c>
      <c r="F20" s="54">
        <v>2011</v>
      </c>
      <c r="G20" s="54" t="s">
        <v>970</v>
      </c>
      <c r="H20" s="58" t="s">
        <v>302</v>
      </c>
      <c r="I20" s="58"/>
      <c r="J20" s="74" t="s">
        <v>1022</v>
      </c>
      <c r="K20" s="74" t="s">
        <v>1114</v>
      </c>
      <c r="L20" s="54" t="s">
        <v>973</v>
      </c>
      <c r="M20" s="58"/>
      <c r="N20" s="58"/>
      <c r="O20" s="66" t="s">
        <v>971</v>
      </c>
      <c r="P20" s="58"/>
      <c r="Q20" s="58"/>
      <c r="R20" s="58"/>
      <c r="S20" s="58"/>
      <c r="T20" s="58"/>
      <c r="U20" s="54">
        <v>0.85</v>
      </c>
      <c r="V20" s="58"/>
      <c r="W20" s="58"/>
      <c r="X20" s="58">
        <f t="shared" si="0"/>
        <v>0.85</v>
      </c>
      <c r="Y20" s="71">
        <v>172.2</v>
      </c>
      <c r="Z20" s="63" t="str">
        <f t="shared" si="1"/>
        <v>S</v>
      </c>
      <c r="AA20" s="58"/>
      <c r="AB20" s="58"/>
      <c r="AC20" s="58"/>
      <c r="AD20" s="160"/>
      <c r="AE20" s="160"/>
      <c r="AF20" s="160"/>
      <c r="AG20" s="160"/>
      <c r="AH20" s="160"/>
      <c r="AI20" s="160"/>
      <c r="AJ20" s="160"/>
      <c r="AK20" s="160"/>
      <c r="AL20" s="160"/>
    </row>
    <row r="21" spans="1:38" s="107" customFormat="1">
      <c r="A21" s="97">
        <v>121</v>
      </c>
      <c r="B21" s="103" t="s">
        <v>427</v>
      </c>
      <c r="C21" s="103">
        <v>2002</v>
      </c>
      <c r="D21" s="103" t="s">
        <v>428</v>
      </c>
      <c r="E21" s="99" t="s">
        <v>430</v>
      </c>
      <c r="F21" s="98">
        <v>2002</v>
      </c>
      <c r="G21" s="98" t="s">
        <v>434</v>
      </c>
      <c r="H21" s="98" t="s">
        <v>1135</v>
      </c>
      <c r="I21" s="98"/>
      <c r="J21" s="98" t="s">
        <v>1059</v>
      </c>
      <c r="K21" s="98" t="s">
        <v>1140</v>
      </c>
      <c r="L21" s="98" t="s">
        <v>435</v>
      </c>
      <c r="M21" s="109" t="s">
        <v>436</v>
      </c>
      <c r="N21" s="98" t="s">
        <v>437</v>
      </c>
      <c r="O21" s="98" t="s">
        <v>438</v>
      </c>
      <c r="P21" s="98"/>
      <c r="Q21" s="98"/>
      <c r="R21" s="98"/>
      <c r="S21" s="98"/>
      <c r="T21" s="98"/>
      <c r="U21" s="98"/>
      <c r="V21" s="98"/>
      <c r="W21" s="98"/>
      <c r="X21" s="101" t="str">
        <f t="shared" si="0"/>
        <v/>
      </c>
      <c r="Y21" s="122">
        <v>165</v>
      </c>
      <c r="Z21" s="106" t="str">
        <f t="shared" si="1"/>
        <v/>
      </c>
      <c r="AA21" s="187"/>
      <c r="AB21" s="188" t="s">
        <v>1206</v>
      </c>
      <c r="AC21" s="188" t="s">
        <v>1207</v>
      </c>
      <c r="AD21" s="188" t="s">
        <v>1208</v>
      </c>
      <c r="AE21" s="188" t="s">
        <v>1209</v>
      </c>
      <c r="AF21" s="188" t="s">
        <v>1210</v>
      </c>
      <c r="AG21" s="188" t="s">
        <v>1211</v>
      </c>
      <c r="AH21" s="174"/>
      <c r="AI21" s="174"/>
      <c r="AJ21" s="174"/>
      <c r="AK21" s="174"/>
      <c r="AL21" s="174"/>
    </row>
    <row r="22" spans="1:38" s="107" customFormat="1">
      <c r="A22" s="97">
        <v>174</v>
      </c>
      <c r="B22" s="98" t="s">
        <v>697</v>
      </c>
      <c r="C22" s="98">
        <v>2009</v>
      </c>
      <c r="D22" s="108" t="s">
        <v>698</v>
      </c>
      <c r="E22" s="99" t="s">
        <v>20</v>
      </c>
      <c r="F22" s="100" t="s">
        <v>701</v>
      </c>
      <c r="G22" s="98" t="s">
        <v>726</v>
      </c>
      <c r="H22" s="98" t="s">
        <v>264</v>
      </c>
      <c r="I22" s="98"/>
      <c r="J22" s="101" t="s">
        <v>1059</v>
      </c>
      <c r="K22" s="98" t="s">
        <v>1084</v>
      </c>
      <c r="L22" s="98" t="s">
        <v>728</v>
      </c>
      <c r="M22" s="109"/>
      <c r="N22" s="109"/>
      <c r="O22" s="98" t="s">
        <v>729</v>
      </c>
      <c r="P22" s="103"/>
      <c r="Q22" s="103"/>
      <c r="R22" s="98"/>
      <c r="S22" s="98"/>
      <c r="T22" s="98"/>
      <c r="U22" s="104">
        <v>0.91700000000000004</v>
      </c>
      <c r="V22" s="104"/>
      <c r="W22" s="104"/>
      <c r="X22" s="101">
        <f t="shared" si="0"/>
        <v>0.91700000000000004</v>
      </c>
      <c r="Y22" s="122">
        <v>70.599999999999994</v>
      </c>
      <c r="Z22" s="106" t="str">
        <f t="shared" si="1"/>
        <v>F</v>
      </c>
      <c r="AA22" s="188" t="s">
        <v>1347</v>
      </c>
      <c r="AB22" s="151">
        <f>AVERAGE($Y$21:$Y$25)</f>
        <v>116.64400000000001</v>
      </c>
      <c r="AC22" s="151">
        <f>MEDIAN($Y$21:$Y$25)</f>
        <v>96.4</v>
      </c>
      <c r="AD22" s="151">
        <f>MAX($Y$21:$Y$25)</f>
        <v>165</v>
      </c>
      <c r="AE22" s="151">
        <f>MIN($Y$21:$Y$25)</f>
        <v>70.599999999999994</v>
      </c>
      <c r="AF22" s="151">
        <f>STDEV($Y$21:$Y$25)</f>
        <v>43.818736631719531</v>
      </c>
      <c r="AG22" s="307">
        <f>COUNT($Y$21:$Y$25)</f>
        <v>5</v>
      </c>
      <c r="AH22" s="174"/>
      <c r="AI22" s="174"/>
      <c r="AJ22" s="174"/>
      <c r="AK22" s="174"/>
      <c r="AL22" s="174"/>
    </row>
    <row r="23" spans="1:38" s="107" customFormat="1">
      <c r="A23" s="97">
        <v>203</v>
      </c>
      <c r="B23" s="123" t="s">
        <v>940</v>
      </c>
      <c r="C23" s="98">
        <v>2011</v>
      </c>
      <c r="D23" s="123" t="s">
        <v>941</v>
      </c>
      <c r="E23" s="99" t="s">
        <v>20</v>
      </c>
      <c r="F23" s="98">
        <v>2009</v>
      </c>
      <c r="G23" s="98" t="s">
        <v>326</v>
      </c>
      <c r="H23" s="98"/>
      <c r="I23" s="98"/>
      <c r="J23" s="101" t="s">
        <v>1059</v>
      </c>
      <c r="K23" s="98" t="s">
        <v>1060</v>
      </c>
      <c r="L23" s="98" t="s">
        <v>727</v>
      </c>
      <c r="M23" s="98"/>
      <c r="N23" s="98"/>
      <c r="O23" s="98">
        <v>51</v>
      </c>
      <c r="P23" s="98"/>
      <c r="Q23" s="98"/>
      <c r="R23" s="98"/>
      <c r="S23" s="98"/>
      <c r="T23" s="98"/>
      <c r="U23" s="98">
        <v>0.91</v>
      </c>
      <c r="V23" s="98"/>
      <c r="W23" s="98"/>
      <c r="X23" s="101">
        <f t="shared" si="0"/>
        <v>0.91</v>
      </c>
      <c r="Y23" s="122">
        <v>89.2</v>
      </c>
      <c r="Z23" s="106" t="str">
        <f t="shared" si="1"/>
        <v>F</v>
      </c>
      <c r="AA23" s="188" t="s">
        <v>1341</v>
      </c>
      <c r="AB23" s="189">
        <f>AVERAGE($Y$22:$Y$23)</f>
        <v>79.900000000000006</v>
      </c>
      <c r="AC23" s="189">
        <f>MEDIAN($Y$22:$Y$23)</f>
        <v>79.900000000000006</v>
      </c>
      <c r="AD23" s="189">
        <f>MAX($Y$22:$Y$23)</f>
        <v>89.2</v>
      </c>
      <c r="AE23" s="189">
        <f>MIN($Y$22:$Y$23)</f>
        <v>70.599999999999994</v>
      </c>
      <c r="AF23" s="189">
        <f>STDEV($Y$22:$Y$23)</f>
        <v>13.152186130069698</v>
      </c>
      <c r="AG23" s="190">
        <f>COUNT($Y$22:$Y$23)</f>
        <v>2</v>
      </c>
      <c r="AH23" s="174"/>
      <c r="AI23" s="174"/>
      <c r="AJ23" s="174"/>
      <c r="AK23" s="174"/>
      <c r="AL23" s="174"/>
    </row>
    <row r="24" spans="1:38" s="107" customFormat="1">
      <c r="A24" s="97">
        <v>174</v>
      </c>
      <c r="B24" s="98" t="s">
        <v>697</v>
      </c>
      <c r="C24" s="98">
        <v>2009</v>
      </c>
      <c r="D24" s="108" t="s">
        <v>698</v>
      </c>
      <c r="E24" s="99" t="s">
        <v>20</v>
      </c>
      <c r="F24" s="100" t="s">
        <v>701</v>
      </c>
      <c r="G24" s="98" t="s">
        <v>726</v>
      </c>
      <c r="H24" s="98" t="s">
        <v>264</v>
      </c>
      <c r="I24" s="98"/>
      <c r="J24" s="101" t="s">
        <v>1059</v>
      </c>
      <c r="K24" s="98" t="s">
        <v>1060</v>
      </c>
      <c r="L24" s="98" t="s">
        <v>727</v>
      </c>
      <c r="M24" s="109"/>
      <c r="N24" s="109"/>
      <c r="O24" s="98" t="s">
        <v>727</v>
      </c>
      <c r="P24" s="103"/>
      <c r="Q24" s="103"/>
      <c r="R24" s="98"/>
      <c r="S24" s="98"/>
      <c r="T24" s="98"/>
      <c r="U24" s="104">
        <v>0.86699999999999999</v>
      </c>
      <c r="V24" s="104"/>
      <c r="W24" s="104"/>
      <c r="X24" s="101">
        <f t="shared" si="0"/>
        <v>0.86699999999999999</v>
      </c>
      <c r="Y24" s="122">
        <v>96.4</v>
      </c>
      <c r="Z24" s="106" t="str">
        <f t="shared" si="1"/>
        <v>S</v>
      </c>
      <c r="AA24" s="188" t="s">
        <v>1342</v>
      </c>
      <c r="AB24" s="189">
        <f>AVERAGE($Y$24:$Y$25)</f>
        <v>129.21</v>
      </c>
      <c r="AC24" s="189">
        <f>MEDIAN($Y$24:$Y$25)</f>
        <v>129.21</v>
      </c>
      <c r="AD24" s="189">
        <f>MAX($Y$24:$Y$25)</f>
        <v>162.02000000000001</v>
      </c>
      <c r="AE24" s="189">
        <f>MIN($Y$24:$Y$25)</f>
        <v>96.4</v>
      </c>
      <c r="AF24" s="189">
        <f>STDEV($Y$24:$Y$25)</f>
        <v>46.400346981461254</v>
      </c>
      <c r="AG24" s="190">
        <f>COUNT($Y$24:$Y$25)</f>
        <v>2</v>
      </c>
      <c r="AH24" s="174"/>
      <c r="AI24" s="174"/>
      <c r="AJ24" s="174"/>
      <c r="AK24" s="174"/>
      <c r="AL24" s="174"/>
    </row>
    <row r="25" spans="1:38" s="107" customFormat="1">
      <c r="A25" s="97">
        <v>172</v>
      </c>
      <c r="B25" s="98" t="s">
        <v>585</v>
      </c>
      <c r="C25" s="98">
        <v>2010</v>
      </c>
      <c r="D25" s="98" t="s">
        <v>586</v>
      </c>
      <c r="E25" s="99" t="s">
        <v>589</v>
      </c>
      <c r="F25" s="100">
        <v>40233</v>
      </c>
      <c r="G25" s="98" t="s">
        <v>629</v>
      </c>
      <c r="H25" s="98" t="s">
        <v>264</v>
      </c>
      <c r="I25" s="98"/>
      <c r="J25" s="101" t="s">
        <v>1059</v>
      </c>
      <c r="K25" s="98" t="s">
        <v>1060</v>
      </c>
      <c r="L25" s="98" t="s">
        <v>630</v>
      </c>
      <c r="M25" s="102"/>
      <c r="N25" s="102"/>
      <c r="O25" s="98"/>
      <c r="P25" s="103"/>
      <c r="Q25" s="103"/>
      <c r="R25" s="98"/>
      <c r="S25" s="98"/>
      <c r="T25" s="98"/>
      <c r="U25" s="104">
        <v>0.82699999999999996</v>
      </c>
      <c r="V25" s="104"/>
      <c r="W25" s="104"/>
      <c r="X25" s="101">
        <f t="shared" si="0"/>
        <v>0.82699999999999996</v>
      </c>
      <c r="Y25" s="122">
        <v>162.02000000000001</v>
      </c>
      <c r="Z25" s="106" t="str">
        <f t="shared" si="1"/>
        <v>S</v>
      </c>
      <c r="AD25" s="174"/>
      <c r="AE25" s="174"/>
      <c r="AF25" s="174"/>
      <c r="AG25" s="174"/>
      <c r="AH25" s="174"/>
      <c r="AI25" s="174"/>
      <c r="AJ25" s="174"/>
      <c r="AK25" s="174"/>
      <c r="AL25" s="174"/>
    </row>
    <row r="26" spans="1:38">
      <c r="A26" s="53">
        <v>119</v>
      </c>
      <c r="B26" s="65" t="s">
        <v>399</v>
      </c>
      <c r="C26" s="65">
        <v>2000</v>
      </c>
      <c r="D26" s="65" t="s">
        <v>407</v>
      </c>
      <c r="E26" s="56" t="s">
        <v>410</v>
      </c>
      <c r="F26" s="69">
        <v>35594</v>
      </c>
      <c r="G26" s="54" t="s">
        <v>411</v>
      </c>
      <c r="H26" s="54" t="s">
        <v>264</v>
      </c>
      <c r="I26" s="54" t="s">
        <v>1014</v>
      </c>
      <c r="J26" s="66" t="s">
        <v>1057</v>
      </c>
      <c r="K26" s="54" t="s">
        <v>1058</v>
      </c>
      <c r="L26" s="54" t="s">
        <v>413</v>
      </c>
      <c r="M26" s="54" t="s">
        <v>414</v>
      </c>
      <c r="N26" s="54" t="s">
        <v>415</v>
      </c>
      <c r="O26" s="54" t="s">
        <v>416</v>
      </c>
      <c r="P26" s="54"/>
      <c r="Q26" s="54"/>
      <c r="R26" s="54"/>
      <c r="S26" s="54"/>
      <c r="T26" s="54"/>
      <c r="U26" s="54">
        <v>0.92500000000000004</v>
      </c>
      <c r="V26" s="54"/>
      <c r="W26" s="54"/>
      <c r="X26" s="58">
        <f t="shared" si="0"/>
        <v>0.92500000000000004</v>
      </c>
      <c r="Y26" s="71">
        <v>85.5</v>
      </c>
      <c r="Z26" s="63" t="str">
        <f t="shared" si="1"/>
        <v>F</v>
      </c>
      <c r="AA26" s="58"/>
      <c r="AB26" s="58"/>
      <c r="AC26" s="58"/>
      <c r="AD26" s="160"/>
      <c r="AE26" s="160"/>
      <c r="AF26" s="160"/>
      <c r="AG26" s="160"/>
      <c r="AH26" s="160"/>
      <c r="AI26" s="160"/>
      <c r="AJ26" s="160"/>
      <c r="AK26" s="160"/>
      <c r="AL26" s="160"/>
    </row>
    <row r="27" spans="1:38" s="107" customFormat="1">
      <c r="A27" s="97">
        <v>94</v>
      </c>
      <c r="B27" s="103" t="s">
        <v>45</v>
      </c>
      <c r="C27" s="103">
        <v>1992</v>
      </c>
      <c r="D27" s="103" t="s">
        <v>276</v>
      </c>
      <c r="E27" s="99" t="s">
        <v>49</v>
      </c>
      <c r="F27" s="98">
        <v>1991</v>
      </c>
      <c r="G27" s="98" t="s">
        <v>279</v>
      </c>
      <c r="H27" s="98" t="s">
        <v>211</v>
      </c>
      <c r="I27" s="98"/>
      <c r="J27" s="98" t="s">
        <v>1048</v>
      </c>
      <c r="K27" s="98" t="s">
        <v>1136</v>
      </c>
      <c r="L27" s="98" t="s">
        <v>280</v>
      </c>
      <c r="M27" s="98"/>
      <c r="N27" s="98"/>
      <c r="O27" s="98" t="s">
        <v>284</v>
      </c>
      <c r="P27" s="98"/>
      <c r="Q27" s="98"/>
      <c r="R27" s="98">
        <v>0.96</v>
      </c>
      <c r="S27" s="98"/>
      <c r="T27" s="98"/>
      <c r="U27" s="98"/>
      <c r="V27" s="98"/>
      <c r="W27" s="98"/>
      <c r="X27" s="101">
        <f t="shared" si="0"/>
        <v>0.96</v>
      </c>
      <c r="Y27" s="122">
        <v>36</v>
      </c>
      <c r="Z27" s="106" t="str">
        <f t="shared" si="1"/>
        <v>F</v>
      </c>
      <c r="AA27" s="187"/>
      <c r="AB27" s="188" t="s">
        <v>1179</v>
      </c>
      <c r="AC27" s="188" t="s">
        <v>1182</v>
      </c>
      <c r="AD27" s="188" t="s">
        <v>1183</v>
      </c>
      <c r="AE27" s="188" t="s">
        <v>1184</v>
      </c>
      <c r="AF27" s="188" t="s">
        <v>1190</v>
      </c>
      <c r="AG27" s="188" t="s">
        <v>1186</v>
      </c>
      <c r="AL27" s="174"/>
    </row>
    <row r="28" spans="1:38" s="107" customFormat="1">
      <c r="A28" s="97">
        <v>94</v>
      </c>
      <c r="B28" s="103" t="s">
        <v>45</v>
      </c>
      <c r="C28" s="103">
        <v>1992</v>
      </c>
      <c r="D28" s="103" t="s">
        <v>276</v>
      </c>
      <c r="E28" s="99" t="s">
        <v>49</v>
      </c>
      <c r="F28" s="98">
        <v>1991</v>
      </c>
      <c r="G28" s="98" t="s">
        <v>279</v>
      </c>
      <c r="H28" s="98" t="s">
        <v>211</v>
      </c>
      <c r="I28" s="98"/>
      <c r="J28" s="98" t="s">
        <v>1048</v>
      </c>
      <c r="K28" s="98" t="s">
        <v>1136</v>
      </c>
      <c r="L28" s="98" t="s">
        <v>280</v>
      </c>
      <c r="M28" s="98"/>
      <c r="N28" s="98"/>
      <c r="O28" s="98" t="s">
        <v>287</v>
      </c>
      <c r="P28" s="98"/>
      <c r="Q28" s="98"/>
      <c r="R28" s="98">
        <v>0.94</v>
      </c>
      <c r="S28" s="98"/>
      <c r="T28" s="98"/>
      <c r="U28" s="98"/>
      <c r="V28" s="98"/>
      <c r="W28" s="98"/>
      <c r="X28" s="101">
        <f t="shared" si="0"/>
        <v>0.94</v>
      </c>
      <c r="Y28" s="122">
        <v>58</v>
      </c>
      <c r="Z28" s="106" t="str">
        <f t="shared" si="1"/>
        <v>F</v>
      </c>
      <c r="AA28" s="188" t="s">
        <v>1348</v>
      </c>
      <c r="AB28" s="151">
        <f>AVERAGE($Y$27:$Y$42)</f>
        <v>121.125</v>
      </c>
      <c r="AC28" s="151">
        <f>MEDIAN($Y$27:$Y$42)</f>
        <v>109.5</v>
      </c>
      <c r="AD28" s="151">
        <f>MAX($Y$27:$Y$42)</f>
        <v>263</v>
      </c>
      <c r="AE28" s="151">
        <f>MIN($Y$27:$Y$42)</f>
        <v>36</v>
      </c>
      <c r="AF28" s="151">
        <f>STDEV($Y$27:$Y$42)</f>
        <v>74.077324465722981</v>
      </c>
      <c r="AG28" s="307">
        <f>COUNT($Y$27:$Y$42)</f>
        <v>16</v>
      </c>
      <c r="AL28" s="174"/>
    </row>
    <row r="29" spans="1:38" s="107" customFormat="1">
      <c r="A29" s="97">
        <v>94</v>
      </c>
      <c r="B29" s="103" t="s">
        <v>45</v>
      </c>
      <c r="C29" s="103">
        <v>1992</v>
      </c>
      <c r="D29" s="103" t="s">
        <v>276</v>
      </c>
      <c r="E29" s="99" t="s">
        <v>172</v>
      </c>
      <c r="F29" s="98">
        <v>1991</v>
      </c>
      <c r="G29" s="98" t="s">
        <v>279</v>
      </c>
      <c r="H29" s="98" t="s">
        <v>211</v>
      </c>
      <c r="I29" s="98"/>
      <c r="J29" s="98" t="s">
        <v>1048</v>
      </c>
      <c r="K29" s="98" t="s">
        <v>1136</v>
      </c>
      <c r="L29" s="98" t="s">
        <v>280</v>
      </c>
      <c r="M29" s="98"/>
      <c r="N29" s="98"/>
      <c r="O29" s="98" t="s">
        <v>295</v>
      </c>
      <c r="P29" s="98"/>
      <c r="Q29" s="98"/>
      <c r="R29" s="98">
        <v>0.94</v>
      </c>
      <c r="S29" s="98"/>
      <c r="T29" s="98"/>
      <c r="U29" s="98"/>
      <c r="V29" s="98"/>
      <c r="W29" s="98"/>
      <c r="X29" s="101">
        <f t="shared" si="0"/>
        <v>0.94</v>
      </c>
      <c r="Y29" s="122">
        <v>48</v>
      </c>
      <c r="Z29" s="106" t="str">
        <f t="shared" si="1"/>
        <v>F</v>
      </c>
      <c r="AA29" s="188" t="s">
        <v>1343</v>
      </c>
      <c r="AB29" s="191">
        <f>AVERAGE($Y$27:$Y$32)</f>
        <v>54</v>
      </c>
      <c r="AC29" s="191">
        <f>MEDIAN($Y$27:$Y$32)</f>
        <v>56.5</v>
      </c>
      <c r="AD29" s="191">
        <f>MAX($Y$27:$Y$32)</f>
        <v>69</v>
      </c>
      <c r="AE29" s="191">
        <f>MIN($Y$27:$Y$32)</f>
        <v>36</v>
      </c>
      <c r="AF29" s="191">
        <f>STDEV($Y$27:$Y$32)</f>
        <v>11.081516141756055</v>
      </c>
      <c r="AG29" s="188">
        <f>COUNT($Y$27:$Y$32)</f>
        <v>6</v>
      </c>
      <c r="AL29" s="174"/>
    </row>
    <row r="30" spans="1:38" s="107" customFormat="1">
      <c r="A30" s="97">
        <v>94</v>
      </c>
      <c r="B30" s="103" t="s">
        <v>45</v>
      </c>
      <c r="C30" s="103">
        <v>1992</v>
      </c>
      <c r="D30" s="103" t="s">
        <v>276</v>
      </c>
      <c r="E30" s="99" t="s">
        <v>49</v>
      </c>
      <c r="F30" s="98">
        <v>1991</v>
      </c>
      <c r="G30" s="98" t="s">
        <v>279</v>
      </c>
      <c r="H30" s="98" t="s">
        <v>211</v>
      </c>
      <c r="I30" s="98"/>
      <c r="J30" s="98" t="s">
        <v>1048</v>
      </c>
      <c r="K30" s="98" t="s">
        <v>1136</v>
      </c>
      <c r="L30" s="98" t="s">
        <v>280</v>
      </c>
      <c r="M30" s="98"/>
      <c r="N30" s="98"/>
      <c r="O30" s="98" t="s">
        <v>281</v>
      </c>
      <c r="P30" s="98"/>
      <c r="Q30" s="98"/>
      <c r="R30" s="98">
        <v>0.93</v>
      </c>
      <c r="S30" s="98"/>
      <c r="T30" s="98"/>
      <c r="U30" s="98"/>
      <c r="V30" s="98"/>
      <c r="W30" s="98"/>
      <c r="X30" s="101">
        <f t="shared" si="0"/>
        <v>0.93</v>
      </c>
      <c r="Y30" s="122">
        <v>57</v>
      </c>
      <c r="Z30" s="106" t="str">
        <f t="shared" si="1"/>
        <v>F</v>
      </c>
      <c r="AA30" s="188" t="s">
        <v>1344</v>
      </c>
      <c r="AB30" s="191">
        <f>AVERAGE($Y$33:$Y$42)</f>
        <v>161.4</v>
      </c>
      <c r="AC30" s="191">
        <f>MEDIAN($Y$33:$Y$42)</f>
        <v>135</v>
      </c>
      <c r="AD30" s="191">
        <f>MAX($Y$33:$Y$42)</f>
        <v>263</v>
      </c>
      <c r="AE30" s="191">
        <f>MIN($Y$33:$Y$42)</f>
        <v>95</v>
      </c>
      <c r="AF30" s="191">
        <f>STDEV($Y$33:$Y$42)</f>
        <v>65.355778457438461</v>
      </c>
      <c r="AG30" s="188">
        <f>COUNT($Y$33:$Y$42)</f>
        <v>10</v>
      </c>
      <c r="AH30" s="174"/>
      <c r="AI30" s="174"/>
      <c r="AJ30" s="174"/>
      <c r="AK30" s="174"/>
      <c r="AL30" s="174"/>
    </row>
    <row r="31" spans="1:38" s="107" customFormat="1">
      <c r="A31" s="97">
        <v>94</v>
      </c>
      <c r="B31" s="103" t="s">
        <v>45</v>
      </c>
      <c r="C31" s="103">
        <v>1992</v>
      </c>
      <c r="D31" s="103" t="s">
        <v>276</v>
      </c>
      <c r="E31" s="99" t="s">
        <v>290</v>
      </c>
      <c r="F31" s="98">
        <v>1991</v>
      </c>
      <c r="G31" s="98" t="s">
        <v>279</v>
      </c>
      <c r="H31" s="98" t="s">
        <v>211</v>
      </c>
      <c r="I31" s="98"/>
      <c r="J31" s="98" t="s">
        <v>1048</v>
      </c>
      <c r="K31" s="98" t="s">
        <v>1136</v>
      </c>
      <c r="L31" s="98" t="s">
        <v>280</v>
      </c>
      <c r="M31" s="98"/>
      <c r="N31" s="98"/>
      <c r="O31" s="98" t="s">
        <v>297</v>
      </c>
      <c r="P31" s="98"/>
      <c r="Q31" s="98"/>
      <c r="R31" s="98">
        <v>0.93</v>
      </c>
      <c r="S31" s="98"/>
      <c r="T31" s="98"/>
      <c r="U31" s="98"/>
      <c r="V31" s="98"/>
      <c r="W31" s="98"/>
      <c r="X31" s="101">
        <f t="shared" si="0"/>
        <v>0.93</v>
      </c>
      <c r="Y31" s="122">
        <v>56</v>
      </c>
      <c r="Z31" s="106" t="str">
        <f t="shared" si="1"/>
        <v>F</v>
      </c>
      <c r="AD31" s="174"/>
      <c r="AE31" s="174"/>
      <c r="AF31" s="174"/>
      <c r="AG31" s="174"/>
      <c r="AH31" s="174"/>
      <c r="AI31" s="174"/>
      <c r="AJ31" s="174"/>
      <c r="AK31" s="174"/>
      <c r="AL31" s="174"/>
    </row>
    <row r="32" spans="1:38" s="107" customFormat="1">
      <c r="A32" s="97">
        <v>94</v>
      </c>
      <c r="B32" s="103" t="s">
        <v>45</v>
      </c>
      <c r="C32" s="103">
        <v>1992</v>
      </c>
      <c r="D32" s="103" t="s">
        <v>276</v>
      </c>
      <c r="E32" s="99" t="s">
        <v>290</v>
      </c>
      <c r="F32" s="98">
        <v>1991</v>
      </c>
      <c r="G32" s="98" t="s">
        <v>279</v>
      </c>
      <c r="H32" s="98" t="s">
        <v>211</v>
      </c>
      <c r="I32" s="98"/>
      <c r="J32" s="98" t="s">
        <v>1048</v>
      </c>
      <c r="K32" s="98" t="s">
        <v>1136</v>
      </c>
      <c r="L32" s="98" t="s">
        <v>280</v>
      </c>
      <c r="M32" s="98"/>
      <c r="N32" s="98"/>
      <c r="O32" s="98" t="s">
        <v>296</v>
      </c>
      <c r="P32" s="98"/>
      <c r="Q32" s="98"/>
      <c r="R32" s="98">
        <v>0.91</v>
      </c>
      <c r="S32" s="98"/>
      <c r="T32" s="98"/>
      <c r="U32" s="98"/>
      <c r="V32" s="98"/>
      <c r="W32" s="98"/>
      <c r="X32" s="101">
        <f t="shared" si="0"/>
        <v>0.91</v>
      </c>
      <c r="Y32" s="122">
        <v>69</v>
      </c>
      <c r="Z32" s="106" t="str">
        <f t="shared" si="1"/>
        <v>F</v>
      </c>
      <c r="AD32" s="174"/>
      <c r="AE32" s="174"/>
      <c r="AF32" s="174"/>
      <c r="AG32" s="174"/>
      <c r="AH32" s="174"/>
      <c r="AI32" s="174"/>
      <c r="AJ32" s="174"/>
      <c r="AK32" s="174"/>
      <c r="AL32" s="174"/>
    </row>
    <row r="33" spans="1:38" s="107" customFormat="1">
      <c r="A33" s="97">
        <v>94</v>
      </c>
      <c r="B33" s="103" t="s">
        <v>45</v>
      </c>
      <c r="C33" s="103">
        <v>1992</v>
      </c>
      <c r="D33" s="103" t="s">
        <v>276</v>
      </c>
      <c r="E33" s="99" t="s">
        <v>172</v>
      </c>
      <c r="F33" s="98">
        <v>1991</v>
      </c>
      <c r="G33" s="98" t="s">
        <v>279</v>
      </c>
      <c r="H33" s="98" t="s">
        <v>211</v>
      </c>
      <c r="I33" s="98"/>
      <c r="J33" s="98" t="s">
        <v>1048</v>
      </c>
      <c r="K33" s="98" t="s">
        <v>1136</v>
      </c>
      <c r="L33" s="98" t="s">
        <v>280</v>
      </c>
      <c r="M33" s="98"/>
      <c r="N33" s="98"/>
      <c r="O33" s="98" t="s">
        <v>294</v>
      </c>
      <c r="P33" s="98"/>
      <c r="Q33" s="98"/>
      <c r="R33" s="98">
        <v>0.88</v>
      </c>
      <c r="S33" s="98"/>
      <c r="T33" s="98"/>
      <c r="U33" s="98"/>
      <c r="V33" s="98"/>
      <c r="W33" s="98"/>
      <c r="X33" s="101">
        <f t="shared" si="0"/>
        <v>0.88</v>
      </c>
      <c r="Y33" s="122">
        <v>95</v>
      </c>
      <c r="Z33" s="106" t="str">
        <f t="shared" si="1"/>
        <v>S</v>
      </c>
      <c r="AD33" s="174"/>
      <c r="AE33" s="174"/>
      <c r="AF33" s="174"/>
      <c r="AG33" s="174"/>
      <c r="AH33" s="174"/>
      <c r="AI33" s="174"/>
      <c r="AJ33" s="174"/>
      <c r="AK33" s="174"/>
      <c r="AL33" s="174"/>
    </row>
    <row r="34" spans="1:38" s="107" customFormat="1">
      <c r="A34" s="97">
        <v>94</v>
      </c>
      <c r="B34" s="103" t="s">
        <v>45</v>
      </c>
      <c r="C34" s="103">
        <v>1992</v>
      </c>
      <c r="D34" s="103" t="s">
        <v>276</v>
      </c>
      <c r="E34" s="99" t="s">
        <v>49</v>
      </c>
      <c r="F34" s="98">
        <v>1991</v>
      </c>
      <c r="G34" s="98" t="s">
        <v>279</v>
      </c>
      <c r="H34" s="98" t="s">
        <v>211</v>
      </c>
      <c r="I34" s="98"/>
      <c r="J34" s="98" t="s">
        <v>1048</v>
      </c>
      <c r="K34" s="98" t="s">
        <v>1136</v>
      </c>
      <c r="L34" s="98" t="s">
        <v>280</v>
      </c>
      <c r="M34" s="98"/>
      <c r="N34" s="98"/>
      <c r="O34" s="98" t="s">
        <v>282</v>
      </c>
      <c r="P34" s="98"/>
      <c r="Q34" s="98"/>
      <c r="R34" s="98">
        <v>0.87</v>
      </c>
      <c r="S34" s="98"/>
      <c r="T34" s="98"/>
      <c r="U34" s="98"/>
      <c r="V34" s="98"/>
      <c r="W34" s="98"/>
      <c r="X34" s="101">
        <f t="shared" si="0"/>
        <v>0.87</v>
      </c>
      <c r="Y34" s="122">
        <v>113</v>
      </c>
      <c r="Z34" s="106" t="str">
        <f t="shared" ref="Z34:Z65" si="2">IF(X34&lt;&gt;"",IF(X34&lt;0.9,"S","F"),"")</f>
        <v>S</v>
      </c>
      <c r="AA34" s="101"/>
      <c r="AB34" s="101"/>
      <c r="AC34" s="101"/>
      <c r="AD34" s="174"/>
      <c r="AE34" s="174"/>
      <c r="AF34" s="174"/>
      <c r="AG34" s="174"/>
      <c r="AH34" s="174"/>
      <c r="AI34" s="174"/>
      <c r="AJ34" s="174"/>
      <c r="AK34" s="174"/>
      <c r="AL34" s="174"/>
    </row>
    <row r="35" spans="1:38" s="107" customFormat="1">
      <c r="A35" s="97">
        <v>94</v>
      </c>
      <c r="B35" s="103" t="s">
        <v>45</v>
      </c>
      <c r="C35" s="103">
        <v>1992</v>
      </c>
      <c r="D35" s="103" t="s">
        <v>276</v>
      </c>
      <c r="E35" s="99" t="s">
        <v>290</v>
      </c>
      <c r="F35" s="98">
        <v>1991</v>
      </c>
      <c r="G35" s="98" t="s">
        <v>279</v>
      </c>
      <c r="H35" s="98" t="s">
        <v>211</v>
      </c>
      <c r="I35" s="98"/>
      <c r="J35" s="98" t="s">
        <v>1048</v>
      </c>
      <c r="K35" s="98" t="s">
        <v>1136</v>
      </c>
      <c r="L35" s="98" t="s">
        <v>280</v>
      </c>
      <c r="M35" s="98"/>
      <c r="N35" s="98"/>
      <c r="O35" s="98" t="s">
        <v>291</v>
      </c>
      <c r="P35" s="98"/>
      <c r="Q35" s="98"/>
      <c r="R35" s="98">
        <v>0.85</v>
      </c>
      <c r="S35" s="98"/>
      <c r="T35" s="98"/>
      <c r="U35" s="98"/>
      <c r="V35" s="98"/>
      <c r="W35" s="98"/>
      <c r="X35" s="101">
        <f t="shared" si="0"/>
        <v>0.85</v>
      </c>
      <c r="Y35" s="122">
        <v>118</v>
      </c>
      <c r="Z35" s="106" t="str">
        <f t="shared" si="2"/>
        <v>S</v>
      </c>
      <c r="AA35" s="101"/>
      <c r="AB35" s="101"/>
      <c r="AC35" s="101"/>
      <c r="AD35" s="174"/>
      <c r="AE35" s="174"/>
      <c r="AF35" s="174"/>
      <c r="AG35" s="174"/>
      <c r="AH35" s="174"/>
      <c r="AI35" s="174"/>
      <c r="AJ35" s="174"/>
      <c r="AK35" s="174"/>
      <c r="AL35" s="174"/>
    </row>
    <row r="36" spans="1:38" s="107" customFormat="1">
      <c r="A36" s="97">
        <v>94</v>
      </c>
      <c r="B36" s="103" t="s">
        <v>45</v>
      </c>
      <c r="C36" s="103">
        <v>1992</v>
      </c>
      <c r="D36" s="103" t="s">
        <v>276</v>
      </c>
      <c r="E36" s="99" t="s">
        <v>290</v>
      </c>
      <c r="F36" s="98">
        <v>1991</v>
      </c>
      <c r="G36" s="98" t="s">
        <v>279</v>
      </c>
      <c r="H36" s="98" t="s">
        <v>211</v>
      </c>
      <c r="I36" s="98"/>
      <c r="J36" s="98" t="s">
        <v>1048</v>
      </c>
      <c r="K36" s="98" t="s">
        <v>1136</v>
      </c>
      <c r="L36" s="98" t="s">
        <v>280</v>
      </c>
      <c r="M36" s="98"/>
      <c r="N36" s="98"/>
      <c r="O36" s="98" t="s">
        <v>293</v>
      </c>
      <c r="P36" s="98"/>
      <c r="Q36" s="98"/>
      <c r="R36" s="98">
        <v>0.85</v>
      </c>
      <c r="S36" s="98"/>
      <c r="T36" s="98"/>
      <c r="U36" s="98"/>
      <c r="V36" s="98"/>
      <c r="W36" s="98"/>
      <c r="X36" s="101">
        <f t="shared" si="0"/>
        <v>0.85</v>
      </c>
      <c r="Y36" s="122">
        <v>106</v>
      </c>
      <c r="Z36" s="106" t="str">
        <f t="shared" si="2"/>
        <v>S</v>
      </c>
      <c r="AA36" s="101"/>
      <c r="AB36" s="101"/>
      <c r="AC36" s="101"/>
      <c r="AD36" s="174"/>
      <c r="AE36" s="174"/>
      <c r="AF36" s="174"/>
      <c r="AG36" s="174"/>
      <c r="AH36" s="174"/>
      <c r="AI36" s="174"/>
      <c r="AJ36" s="174"/>
      <c r="AK36" s="174"/>
      <c r="AL36" s="174"/>
    </row>
    <row r="37" spans="1:38" s="107" customFormat="1">
      <c r="A37" s="97">
        <v>94</v>
      </c>
      <c r="B37" s="103" t="s">
        <v>45</v>
      </c>
      <c r="C37" s="103">
        <v>1992</v>
      </c>
      <c r="D37" s="103" t="s">
        <v>276</v>
      </c>
      <c r="E37" s="99" t="s">
        <v>49</v>
      </c>
      <c r="F37" s="98">
        <v>1991</v>
      </c>
      <c r="G37" s="98" t="s">
        <v>279</v>
      </c>
      <c r="H37" s="98" t="s">
        <v>211</v>
      </c>
      <c r="I37" s="98"/>
      <c r="J37" s="98" t="s">
        <v>1048</v>
      </c>
      <c r="K37" s="98" t="s">
        <v>1136</v>
      </c>
      <c r="L37" s="98" t="s">
        <v>280</v>
      </c>
      <c r="M37" s="98"/>
      <c r="N37" s="98"/>
      <c r="O37" s="98" t="s">
        <v>288</v>
      </c>
      <c r="P37" s="98"/>
      <c r="Q37" s="98"/>
      <c r="R37" s="98">
        <v>0.84</v>
      </c>
      <c r="S37" s="98"/>
      <c r="T37" s="98"/>
      <c r="U37" s="98"/>
      <c r="V37" s="98"/>
      <c r="W37" s="98"/>
      <c r="X37" s="101">
        <f t="shared" si="0"/>
        <v>0.84</v>
      </c>
      <c r="Y37" s="122">
        <v>154</v>
      </c>
      <c r="Z37" s="106" t="str">
        <f t="shared" si="2"/>
        <v>S</v>
      </c>
      <c r="AA37" s="101"/>
      <c r="AB37" s="101"/>
      <c r="AC37" s="101"/>
      <c r="AD37" s="174"/>
      <c r="AE37" s="174"/>
      <c r="AF37" s="174"/>
      <c r="AG37" s="174"/>
      <c r="AH37" s="174"/>
      <c r="AI37" s="174"/>
      <c r="AJ37" s="174"/>
      <c r="AK37" s="174"/>
      <c r="AL37" s="174"/>
    </row>
    <row r="38" spans="1:38" s="107" customFormat="1">
      <c r="A38" s="97">
        <v>94</v>
      </c>
      <c r="B38" s="103" t="s">
        <v>45</v>
      </c>
      <c r="C38" s="103">
        <v>1992</v>
      </c>
      <c r="D38" s="103" t="s">
        <v>276</v>
      </c>
      <c r="E38" s="99" t="s">
        <v>290</v>
      </c>
      <c r="F38" s="98">
        <v>1991</v>
      </c>
      <c r="G38" s="98" t="s">
        <v>279</v>
      </c>
      <c r="H38" s="98" t="s">
        <v>211</v>
      </c>
      <c r="I38" s="98"/>
      <c r="J38" s="98" t="s">
        <v>1048</v>
      </c>
      <c r="K38" s="98" t="s">
        <v>1136</v>
      </c>
      <c r="L38" s="98" t="s">
        <v>280</v>
      </c>
      <c r="M38" s="98"/>
      <c r="N38" s="98"/>
      <c r="O38" s="98" t="s">
        <v>292</v>
      </c>
      <c r="P38" s="98"/>
      <c r="Q38" s="98"/>
      <c r="R38" s="98">
        <v>0.84</v>
      </c>
      <c r="S38" s="98"/>
      <c r="T38" s="98"/>
      <c r="U38" s="98"/>
      <c r="V38" s="98"/>
      <c r="W38" s="98"/>
      <c r="X38" s="101">
        <f t="shared" si="0"/>
        <v>0.84</v>
      </c>
      <c r="Y38" s="122">
        <v>127</v>
      </c>
      <c r="Z38" s="106" t="str">
        <f t="shared" si="2"/>
        <v>S</v>
      </c>
      <c r="AA38" s="101"/>
      <c r="AB38" s="101"/>
      <c r="AC38" s="101"/>
      <c r="AD38" s="174"/>
      <c r="AE38" s="174"/>
      <c r="AF38" s="174"/>
      <c r="AG38" s="174"/>
      <c r="AH38" s="174"/>
      <c r="AI38" s="174"/>
      <c r="AJ38" s="174"/>
      <c r="AK38" s="174"/>
      <c r="AL38" s="174"/>
    </row>
    <row r="39" spans="1:38" s="107" customFormat="1">
      <c r="A39" s="97">
        <v>94</v>
      </c>
      <c r="B39" s="103" t="s">
        <v>45</v>
      </c>
      <c r="C39" s="103">
        <v>1992</v>
      </c>
      <c r="D39" s="103" t="s">
        <v>276</v>
      </c>
      <c r="E39" s="99" t="s">
        <v>49</v>
      </c>
      <c r="F39" s="98">
        <v>1991</v>
      </c>
      <c r="G39" s="98" t="s">
        <v>279</v>
      </c>
      <c r="H39" s="98" t="s">
        <v>211</v>
      </c>
      <c r="I39" s="98"/>
      <c r="J39" s="98" t="s">
        <v>1048</v>
      </c>
      <c r="K39" s="98" t="s">
        <v>1136</v>
      </c>
      <c r="L39" s="98" t="s">
        <v>280</v>
      </c>
      <c r="M39" s="98"/>
      <c r="N39" s="98"/>
      <c r="O39" s="98" t="s">
        <v>285</v>
      </c>
      <c r="P39" s="98"/>
      <c r="Q39" s="98"/>
      <c r="R39" s="98">
        <v>0.83</v>
      </c>
      <c r="S39" s="98"/>
      <c r="T39" s="98"/>
      <c r="U39" s="98"/>
      <c r="V39" s="98"/>
      <c r="W39" s="98"/>
      <c r="X39" s="101">
        <f t="shared" si="0"/>
        <v>0.83</v>
      </c>
      <c r="Y39" s="122">
        <v>143</v>
      </c>
      <c r="Z39" s="106" t="str">
        <f t="shared" si="2"/>
        <v>S</v>
      </c>
      <c r="AA39" s="101"/>
      <c r="AB39" s="101"/>
      <c r="AC39" s="101"/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1:38" s="107" customFormat="1">
      <c r="A40" s="97">
        <v>94</v>
      </c>
      <c r="B40" s="103" t="s">
        <v>45</v>
      </c>
      <c r="C40" s="103">
        <v>1992</v>
      </c>
      <c r="D40" s="103" t="s">
        <v>276</v>
      </c>
      <c r="E40" s="99" t="s">
        <v>49</v>
      </c>
      <c r="F40" s="98">
        <v>1991</v>
      </c>
      <c r="G40" s="98" t="s">
        <v>279</v>
      </c>
      <c r="H40" s="98" t="s">
        <v>211</v>
      </c>
      <c r="I40" s="98"/>
      <c r="J40" s="98" t="s">
        <v>1048</v>
      </c>
      <c r="K40" s="98" t="s">
        <v>1136</v>
      </c>
      <c r="L40" s="98" t="s">
        <v>280</v>
      </c>
      <c r="M40" s="98"/>
      <c r="N40" s="98"/>
      <c r="O40" s="98" t="s">
        <v>286</v>
      </c>
      <c r="P40" s="98"/>
      <c r="Q40" s="98"/>
      <c r="R40" s="98">
        <v>0.7</v>
      </c>
      <c r="S40" s="98"/>
      <c r="T40" s="98"/>
      <c r="U40" s="98"/>
      <c r="V40" s="98"/>
      <c r="W40" s="98"/>
      <c r="X40" s="101">
        <f t="shared" si="0"/>
        <v>0.7</v>
      </c>
      <c r="Y40" s="122">
        <v>250</v>
      </c>
      <c r="Z40" s="106" t="str">
        <f t="shared" si="2"/>
        <v>S</v>
      </c>
      <c r="AA40" s="101"/>
      <c r="AB40" s="101"/>
      <c r="AC40" s="101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1:38" s="107" customFormat="1">
      <c r="A41" s="97">
        <v>94</v>
      </c>
      <c r="B41" s="103" t="s">
        <v>45</v>
      </c>
      <c r="C41" s="103">
        <v>1992</v>
      </c>
      <c r="D41" s="103" t="s">
        <v>276</v>
      </c>
      <c r="E41" s="99" t="s">
        <v>49</v>
      </c>
      <c r="F41" s="98">
        <v>1991</v>
      </c>
      <c r="G41" s="98" t="s">
        <v>279</v>
      </c>
      <c r="H41" s="98" t="s">
        <v>211</v>
      </c>
      <c r="I41" s="98"/>
      <c r="J41" s="98" t="s">
        <v>1048</v>
      </c>
      <c r="K41" s="98" t="s">
        <v>1136</v>
      </c>
      <c r="L41" s="98" t="s">
        <v>280</v>
      </c>
      <c r="M41" s="98"/>
      <c r="N41" s="98"/>
      <c r="O41" s="98" t="s">
        <v>289</v>
      </c>
      <c r="P41" s="98"/>
      <c r="Q41" s="98"/>
      <c r="R41" s="98">
        <v>0.69</v>
      </c>
      <c r="S41" s="98"/>
      <c r="T41" s="98"/>
      <c r="U41" s="98"/>
      <c r="V41" s="98"/>
      <c r="W41" s="98"/>
      <c r="X41" s="101">
        <f t="shared" si="0"/>
        <v>0.69</v>
      </c>
      <c r="Y41" s="122">
        <v>245</v>
      </c>
      <c r="Z41" s="106" t="str">
        <f t="shared" si="2"/>
        <v>S</v>
      </c>
      <c r="AA41" s="101"/>
      <c r="AB41" s="101"/>
      <c r="AC41" s="101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1:38" s="107" customFormat="1">
      <c r="A42" s="97">
        <v>94</v>
      </c>
      <c r="B42" s="103" t="s">
        <v>45</v>
      </c>
      <c r="C42" s="103">
        <v>1992</v>
      </c>
      <c r="D42" s="103" t="s">
        <v>276</v>
      </c>
      <c r="E42" s="99" t="s">
        <v>49</v>
      </c>
      <c r="F42" s="98">
        <v>1991</v>
      </c>
      <c r="G42" s="98" t="s">
        <v>279</v>
      </c>
      <c r="H42" s="98" t="s">
        <v>211</v>
      </c>
      <c r="I42" s="98"/>
      <c r="J42" s="98" t="s">
        <v>1048</v>
      </c>
      <c r="K42" s="98" t="s">
        <v>1136</v>
      </c>
      <c r="L42" s="98" t="s">
        <v>280</v>
      </c>
      <c r="M42" s="98"/>
      <c r="N42" s="98"/>
      <c r="O42" s="98" t="s">
        <v>283</v>
      </c>
      <c r="P42" s="98"/>
      <c r="Q42" s="98"/>
      <c r="R42" s="98">
        <v>0.67</v>
      </c>
      <c r="S42" s="98"/>
      <c r="T42" s="98"/>
      <c r="U42" s="98"/>
      <c r="V42" s="98"/>
      <c r="W42" s="98"/>
      <c r="X42" s="101">
        <f t="shared" si="0"/>
        <v>0.67</v>
      </c>
      <c r="Y42" s="122">
        <v>263</v>
      </c>
      <c r="Z42" s="106" t="str">
        <f t="shared" si="2"/>
        <v>S</v>
      </c>
      <c r="AA42" s="101"/>
      <c r="AB42" s="101"/>
      <c r="AC42" s="101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1:38">
      <c r="A43" s="53">
        <v>174</v>
      </c>
      <c r="B43" s="54" t="s">
        <v>697</v>
      </c>
      <c r="C43" s="54">
        <v>2009</v>
      </c>
      <c r="D43" s="55" t="s">
        <v>698</v>
      </c>
      <c r="E43" s="56" t="s">
        <v>20</v>
      </c>
      <c r="F43" s="57" t="s">
        <v>701</v>
      </c>
      <c r="G43" s="54"/>
      <c r="H43" s="54"/>
      <c r="I43" s="54"/>
      <c r="J43" s="58" t="s">
        <v>1148</v>
      </c>
      <c r="K43" s="54" t="s">
        <v>1099</v>
      </c>
      <c r="L43" s="54" t="s">
        <v>752</v>
      </c>
      <c r="M43" s="59"/>
      <c r="N43" s="59"/>
      <c r="O43" s="54" t="s">
        <v>752</v>
      </c>
      <c r="P43" s="60"/>
      <c r="Q43" s="60"/>
      <c r="R43" s="54"/>
      <c r="S43" s="54"/>
      <c r="T43" s="54"/>
      <c r="U43" s="61">
        <v>0.96099999999999997</v>
      </c>
      <c r="V43" s="61"/>
      <c r="W43" s="61"/>
      <c r="X43" s="58">
        <f t="shared" si="0"/>
        <v>0.96099999999999997</v>
      </c>
      <c r="Y43" s="71">
        <v>46</v>
      </c>
      <c r="Z43" s="63" t="str">
        <f t="shared" si="2"/>
        <v>F</v>
      </c>
      <c r="AA43" s="58"/>
      <c r="AB43" s="58"/>
      <c r="AC43" s="58"/>
      <c r="AD43" s="160"/>
      <c r="AE43" s="160"/>
      <c r="AF43" s="160"/>
      <c r="AG43" s="160"/>
      <c r="AH43" s="160"/>
      <c r="AI43" s="160"/>
      <c r="AJ43" s="160"/>
      <c r="AK43" s="160"/>
      <c r="AL43" s="160"/>
    </row>
    <row r="44" spans="1:38" s="107" customFormat="1">
      <c r="A44" s="97">
        <v>36</v>
      </c>
      <c r="B44" s="103" t="s">
        <v>45</v>
      </c>
      <c r="C44" s="103">
        <v>1982</v>
      </c>
      <c r="D44" s="103" t="s">
        <v>73</v>
      </c>
      <c r="E44" s="99" t="s">
        <v>20</v>
      </c>
      <c r="F44" s="98">
        <v>1982</v>
      </c>
      <c r="G44" s="98" t="s">
        <v>88</v>
      </c>
      <c r="H44" s="98"/>
      <c r="I44" s="98"/>
      <c r="J44" s="98" t="s">
        <v>1170</v>
      </c>
      <c r="K44" s="98" t="s">
        <v>1171</v>
      </c>
      <c r="L44" s="98" t="s">
        <v>89</v>
      </c>
      <c r="M44" s="98"/>
      <c r="N44" s="98"/>
      <c r="O44" s="98" t="s">
        <v>90</v>
      </c>
      <c r="P44" s="98"/>
      <c r="Q44" s="98"/>
      <c r="R44" s="98"/>
      <c r="S44" s="98"/>
      <c r="T44" s="98"/>
      <c r="U44" s="98"/>
      <c r="V44" s="98"/>
      <c r="W44" s="98"/>
      <c r="X44" s="101" t="str">
        <f t="shared" si="0"/>
        <v/>
      </c>
      <c r="Y44" s="122">
        <v>259</v>
      </c>
      <c r="Z44" s="106" t="str">
        <f t="shared" si="2"/>
        <v/>
      </c>
      <c r="AA44" s="187"/>
      <c r="AB44" s="188" t="s">
        <v>1206</v>
      </c>
      <c r="AC44" s="101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1:38" s="107" customFormat="1">
      <c r="A45" s="97">
        <v>36</v>
      </c>
      <c r="B45" s="103" t="s">
        <v>45</v>
      </c>
      <c r="C45" s="103">
        <v>1982</v>
      </c>
      <c r="D45" s="103" t="s">
        <v>73</v>
      </c>
      <c r="E45" s="99" t="s">
        <v>20</v>
      </c>
      <c r="F45" s="98">
        <v>1982</v>
      </c>
      <c r="G45" s="98" t="s">
        <v>88</v>
      </c>
      <c r="H45" s="98"/>
      <c r="I45" s="98"/>
      <c r="J45" s="98" t="s">
        <v>1170</v>
      </c>
      <c r="K45" s="98" t="s">
        <v>1171</v>
      </c>
      <c r="L45" s="98" t="s">
        <v>89</v>
      </c>
      <c r="M45" s="98"/>
      <c r="N45" s="98"/>
      <c r="O45" s="98" t="s">
        <v>91</v>
      </c>
      <c r="P45" s="98"/>
      <c r="Q45" s="98"/>
      <c r="R45" s="98"/>
      <c r="S45" s="98"/>
      <c r="T45" s="98"/>
      <c r="U45" s="98"/>
      <c r="V45" s="98"/>
      <c r="W45" s="98"/>
      <c r="X45" s="101" t="str">
        <f t="shared" si="0"/>
        <v/>
      </c>
      <c r="Y45" s="122">
        <v>250.7</v>
      </c>
      <c r="Z45" s="106" t="str">
        <f t="shared" si="2"/>
        <v/>
      </c>
      <c r="AA45" s="188" t="s">
        <v>1196</v>
      </c>
      <c r="AB45" s="188">
        <f>AVERAGE(Y44:Y45)</f>
        <v>254.85</v>
      </c>
      <c r="AC45" s="101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1:38">
      <c r="A46" s="53">
        <v>36</v>
      </c>
      <c r="B46" s="65" t="s">
        <v>45</v>
      </c>
      <c r="C46" s="65">
        <v>1982</v>
      </c>
      <c r="D46" s="65" t="s">
        <v>73</v>
      </c>
      <c r="E46" s="56" t="s">
        <v>20</v>
      </c>
      <c r="F46" s="54">
        <v>1982</v>
      </c>
      <c r="G46" s="54" t="s">
        <v>75</v>
      </c>
      <c r="H46" s="54"/>
      <c r="I46" s="54"/>
      <c r="J46" s="54" t="s">
        <v>1018</v>
      </c>
      <c r="K46" s="54" t="s">
        <v>1102</v>
      </c>
      <c r="L46" s="54" t="s">
        <v>85</v>
      </c>
      <c r="M46" s="54" t="s">
        <v>86</v>
      </c>
      <c r="N46" s="54"/>
      <c r="O46" s="54" t="s">
        <v>87</v>
      </c>
      <c r="P46" s="54"/>
      <c r="Q46" s="54"/>
      <c r="R46" s="54"/>
      <c r="S46" s="54"/>
      <c r="T46" s="54"/>
      <c r="U46" s="54"/>
      <c r="V46" s="54"/>
      <c r="W46" s="54"/>
      <c r="X46" s="58" t="str">
        <f t="shared" si="0"/>
        <v/>
      </c>
      <c r="Y46" s="71">
        <v>67.3</v>
      </c>
      <c r="Z46" s="63" t="str">
        <f t="shared" si="2"/>
        <v/>
      </c>
      <c r="AA46" s="58"/>
      <c r="AB46" s="58"/>
      <c r="AC46" s="58"/>
      <c r="AD46" s="160"/>
      <c r="AE46" s="160"/>
      <c r="AF46" s="160"/>
      <c r="AG46" s="160"/>
      <c r="AH46" s="160"/>
      <c r="AI46" s="160"/>
      <c r="AJ46" s="160"/>
      <c r="AK46" s="160"/>
      <c r="AL46" s="160"/>
    </row>
    <row r="47" spans="1:38">
      <c r="A47" s="53">
        <v>203</v>
      </c>
      <c r="B47" s="64" t="s">
        <v>940</v>
      </c>
      <c r="C47" s="96">
        <v>2011</v>
      </c>
      <c r="D47" s="64" t="s">
        <v>941</v>
      </c>
      <c r="E47" s="56" t="s">
        <v>20</v>
      </c>
      <c r="F47" s="54">
        <v>2009</v>
      </c>
      <c r="G47" s="54" t="s">
        <v>326</v>
      </c>
      <c r="H47" s="54"/>
      <c r="I47" s="54"/>
      <c r="J47" s="66" t="s">
        <v>1018</v>
      </c>
      <c r="K47" s="54" t="s">
        <v>1018</v>
      </c>
      <c r="L47" s="54" t="s">
        <v>743</v>
      </c>
      <c r="M47" s="54"/>
      <c r="N47" s="54"/>
      <c r="O47" s="54">
        <v>42</v>
      </c>
      <c r="P47" s="54"/>
      <c r="Q47" s="54"/>
      <c r="R47" s="54"/>
      <c r="S47" s="54"/>
      <c r="T47" s="54"/>
      <c r="U47" s="54">
        <v>0.97</v>
      </c>
      <c r="V47" s="54"/>
      <c r="W47" s="54"/>
      <c r="X47" s="58">
        <f t="shared" si="0"/>
        <v>0.97</v>
      </c>
      <c r="Y47" s="71">
        <v>38.1</v>
      </c>
      <c r="Z47" s="63" t="str">
        <f t="shared" si="2"/>
        <v>F</v>
      </c>
      <c r="AA47" s="183"/>
      <c r="AB47" s="184" t="s">
        <v>1206</v>
      </c>
      <c r="AC47" s="184" t="s">
        <v>1207</v>
      </c>
      <c r="AD47" s="184" t="s">
        <v>1208</v>
      </c>
      <c r="AE47" s="184" t="s">
        <v>1209</v>
      </c>
      <c r="AF47" s="184" t="s">
        <v>1210</v>
      </c>
      <c r="AG47" s="184" t="s">
        <v>1211</v>
      </c>
      <c r="AH47" s="160"/>
      <c r="AI47" s="160"/>
      <c r="AJ47" s="160"/>
      <c r="AK47" s="160"/>
      <c r="AL47" s="160"/>
    </row>
    <row r="48" spans="1:38">
      <c r="A48" s="53">
        <v>203</v>
      </c>
      <c r="B48" s="64" t="s">
        <v>940</v>
      </c>
      <c r="C48" s="96">
        <v>2011</v>
      </c>
      <c r="D48" s="64" t="s">
        <v>941</v>
      </c>
      <c r="E48" s="56" t="s">
        <v>20</v>
      </c>
      <c r="F48" s="54">
        <v>2009</v>
      </c>
      <c r="G48" s="54" t="s">
        <v>326</v>
      </c>
      <c r="H48" s="54"/>
      <c r="I48" s="54"/>
      <c r="J48" s="66" t="s">
        <v>1018</v>
      </c>
      <c r="K48" s="54" t="s">
        <v>1018</v>
      </c>
      <c r="L48" s="54" t="s">
        <v>743</v>
      </c>
      <c r="M48" s="54"/>
      <c r="N48" s="54"/>
      <c r="O48" s="54">
        <v>67</v>
      </c>
      <c r="P48" s="54"/>
      <c r="Q48" s="54"/>
      <c r="R48" s="54"/>
      <c r="S48" s="54"/>
      <c r="T48" s="54"/>
      <c r="U48" s="54">
        <v>0.97</v>
      </c>
      <c r="V48" s="54"/>
      <c r="W48" s="54"/>
      <c r="X48" s="58">
        <f t="shared" si="0"/>
        <v>0.97</v>
      </c>
      <c r="Y48" s="71">
        <v>38.9</v>
      </c>
      <c r="Z48" s="63" t="str">
        <f t="shared" si="2"/>
        <v>F</v>
      </c>
      <c r="AA48" s="184" t="str">
        <f>+K48</f>
        <v>SE grass</v>
      </c>
      <c r="AB48" s="185">
        <f>AVERAGE($Y$46:$Y$63)</f>
        <v>70.192092064999997</v>
      </c>
      <c r="AC48" s="185">
        <f>MEDIAN($Y$46:$Y$63)</f>
        <v>73.476225585000009</v>
      </c>
      <c r="AD48" s="185">
        <f>MAX($Y$46:$Y$63)</f>
        <v>119</v>
      </c>
      <c r="AE48" s="185">
        <f>MIN($Y$46:$Y$63)</f>
        <v>34.702852460000003</v>
      </c>
      <c r="AF48" s="185">
        <f>STDEV($Y$46:$Y$63)</f>
        <v>26.193111000968603</v>
      </c>
      <c r="AG48" s="184">
        <f>COUNT($Y$46:$Y$63)</f>
        <v>18</v>
      </c>
      <c r="AH48" s="160"/>
      <c r="AI48" s="160"/>
      <c r="AJ48" s="160"/>
      <c r="AK48" s="160"/>
      <c r="AL48" s="160"/>
    </row>
    <row r="49" spans="1:38">
      <c r="A49" s="53">
        <v>181</v>
      </c>
      <c r="B49" s="54" t="s">
        <v>766</v>
      </c>
      <c r="C49" s="54">
        <v>2009</v>
      </c>
      <c r="D49" s="83" t="s">
        <v>767</v>
      </c>
      <c r="E49" s="84" t="s">
        <v>49</v>
      </c>
      <c r="F49" s="85" t="s">
        <v>808</v>
      </c>
      <c r="G49" s="54" t="s">
        <v>858</v>
      </c>
      <c r="H49" s="74" t="s">
        <v>43</v>
      </c>
      <c r="I49" s="74"/>
      <c r="J49" s="74" t="s">
        <v>1018</v>
      </c>
      <c r="K49" s="74" t="s">
        <v>1018</v>
      </c>
      <c r="L49" s="85" t="s">
        <v>791</v>
      </c>
      <c r="M49" s="85" t="s">
        <v>414</v>
      </c>
      <c r="N49" s="85"/>
      <c r="O49" s="85" t="s">
        <v>859</v>
      </c>
      <c r="P49" s="85"/>
      <c r="Q49" s="85"/>
      <c r="R49" s="54"/>
      <c r="S49" s="54"/>
      <c r="T49" s="54"/>
      <c r="U49" s="85">
        <v>0.97</v>
      </c>
      <c r="V49" s="166"/>
      <c r="W49" s="166"/>
      <c r="X49" s="58">
        <f t="shared" si="0"/>
        <v>0.97</v>
      </c>
      <c r="Y49" s="87">
        <v>34.702852460000003</v>
      </c>
      <c r="Z49" s="63" t="str">
        <f t="shared" si="2"/>
        <v>F</v>
      </c>
      <c r="AC49" s="58"/>
      <c r="AD49" s="160"/>
      <c r="AE49" s="160"/>
      <c r="AF49" s="160"/>
      <c r="AG49" s="160"/>
      <c r="AH49" s="160"/>
      <c r="AI49" s="160"/>
      <c r="AJ49" s="160"/>
      <c r="AK49" s="160"/>
      <c r="AL49" s="160"/>
    </row>
    <row r="50" spans="1:38">
      <c r="A50" s="53">
        <v>174</v>
      </c>
      <c r="B50" s="54" t="s">
        <v>697</v>
      </c>
      <c r="C50" s="54">
        <v>2009</v>
      </c>
      <c r="D50" s="55" t="s">
        <v>698</v>
      </c>
      <c r="E50" s="56" t="s">
        <v>20</v>
      </c>
      <c r="F50" s="57" t="s">
        <v>701</v>
      </c>
      <c r="G50" s="54" t="s">
        <v>741</v>
      </c>
      <c r="H50" s="54" t="s">
        <v>741</v>
      </c>
      <c r="I50" s="54"/>
      <c r="J50" s="58" t="s">
        <v>1018</v>
      </c>
      <c r="K50" s="54" t="s">
        <v>1018</v>
      </c>
      <c r="L50" s="54" t="s">
        <v>742</v>
      </c>
      <c r="M50" s="59"/>
      <c r="N50" s="59"/>
      <c r="O50" s="54" t="s">
        <v>743</v>
      </c>
      <c r="P50" s="60"/>
      <c r="Q50" s="60"/>
      <c r="R50" s="54"/>
      <c r="S50" s="54"/>
      <c r="T50" s="54"/>
      <c r="U50" s="61">
        <v>0.96499999999999997</v>
      </c>
      <c r="V50" s="61"/>
      <c r="W50" s="61"/>
      <c r="X50" s="58">
        <f t="shared" si="0"/>
        <v>0.96499999999999997</v>
      </c>
      <c r="Y50" s="71">
        <v>43</v>
      </c>
      <c r="Z50" s="63" t="str">
        <f t="shared" si="2"/>
        <v>F</v>
      </c>
      <c r="AC50" s="58"/>
      <c r="AD50" s="160"/>
      <c r="AE50" s="160"/>
      <c r="AF50" s="160"/>
      <c r="AG50" s="160"/>
      <c r="AH50" s="160"/>
      <c r="AI50" s="160"/>
      <c r="AJ50" s="160"/>
      <c r="AK50" s="160"/>
      <c r="AL50" s="160"/>
    </row>
    <row r="51" spans="1:38">
      <c r="A51" s="53">
        <v>181</v>
      </c>
      <c r="B51" s="54" t="s">
        <v>766</v>
      </c>
      <c r="C51" s="54">
        <v>2009</v>
      </c>
      <c r="D51" s="83" t="s">
        <v>767</v>
      </c>
      <c r="E51" s="84" t="s">
        <v>49</v>
      </c>
      <c r="F51" s="85" t="s">
        <v>808</v>
      </c>
      <c r="G51" s="54" t="s">
        <v>869</v>
      </c>
      <c r="H51" s="74" t="s">
        <v>43</v>
      </c>
      <c r="I51" s="74"/>
      <c r="J51" s="74" t="s">
        <v>1018</v>
      </c>
      <c r="K51" s="74" t="s">
        <v>1149</v>
      </c>
      <c r="L51" s="85" t="s">
        <v>791</v>
      </c>
      <c r="M51" s="85" t="s">
        <v>872</v>
      </c>
      <c r="N51" s="85"/>
      <c r="O51" s="85" t="s">
        <v>873</v>
      </c>
      <c r="P51" s="85"/>
      <c r="Q51" s="85"/>
      <c r="R51" s="54"/>
      <c r="S51" s="54"/>
      <c r="T51" s="54"/>
      <c r="U51" s="85">
        <v>0.96099999999999997</v>
      </c>
      <c r="V51" s="166"/>
      <c r="W51" s="166"/>
      <c r="X51" s="58">
        <f t="shared" si="0"/>
        <v>0.96099999999999997</v>
      </c>
      <c r="Y51" s="87">
        <v>45.5</v>
      </c>
      <c r="Z51" s="63" t="str">
        <f t="shared" si="2"/>
        <v>F</v>
      </c>
      <c r="AC51" s="58"/>
      <c r="AD51" s="160"/>
      <c r="AE51" s="160"/>
      <c r="AF51" s="160"/>
      <c r="AG51" s="160"/>
      <c r="AH51" s="160"/>
      <c r="AI51" s="160"/>
      <c r="AJ51" s="160"/>
      <c r="AK51" s="160"/>
      <c r="AL51" s="160"/>
    </row>
    <row r="52" spans="1:38">
      <c r="A52" s="53">
        <v>203</v>
      </c>
      <c r="B52" s="64" t="s">
        <v>940</v>
      </c>
      <c r="C52" s="96">
        <v>2011</v>
      </c>
      <c r="D52" s="64" t="s">
        <v>941</v>
      </c>
      <c r="E52" s="56" t="s">
        <v>20</v>
      </c>
      <c r="F52" s="54">
        <v>2009</v>
      </c>
      <c r="G52" s="54" t="s">
        <v>326</v>
      </c>
      <c r="H52" s="54"/>
      <c r="I52" s="54"/>
      <c r="J52" s="66" t="s">
        <v>1018</v>
      </c>
      <c r="K52" s="54" t="s">
        <v>1102</v>
      </c>
      <c r="L52" s="54" t="s">
        <v>944</v>
      </c>
      <c r="M52" s="54"/>
      <c r="N52" s="54"/>
      <c r="O52" s="54">
        <v>43</v>
      </c>
      <c r="P52" s="54"/>
      <c r="Q52" s="54"/>
      <c r="R52" s="54"/>
      <c r="S52" s="54"/>
      <c r="T52" s="54"/>
      <c r="U52" s="54">
        <v>0.96</v>
      </c>
      <c r="V52" s="54"/>
      <c r="W52" s="54"/>
      <c r="X52" s="58">
        <f t="shared" si="0"/>
        <v>0.96</v>
      </c>
      <c r="Y52" s="71">
        <v>49.4</v>
      </c>
      <c r="Z52" s="63" t="str">
        <f t="shared" si="2"/>
        <v>F</v>
      </c>
      <c r="AC52" s="58"/>
      <c r="AD52" s="160"/>
      <c r="AE52" s="160"/>
      <c r="AF52" s="160"/>
      <c r="AG52" s="160"/>
      <c r="AH52" s="160"/>
      <c r="AI52" s="160"/>
      <c r="AJ52" s="160"/>
      <c r="AK52" s="160"/>
      <c r="AL52" s="160"/>
    </row>
    <row r="53" spans="1:38">
      <c r="A53" s="53">
        <v>174</v>
      </c>
      <c r="B53" s="54" t="s">
        <v>697</v>
      </c>
      <c r="C53" s="54">
        <v>2009</v>
      </c>
      <c r="D53" s="55" t="s">
        <v>698</v>
      </c>
      <c r="E53" s="56" t="s">
        <v>20</v>
      </c>
      <c r="F53" s="57" t="s">
        <v>701</v>
      </c>
      <c r="G53" s="54" t="s">
        <v>710</v>
      </c>
      <c r="H53" s="54" t="s">
        <v>42</v>
      </c>
      <c r="I53" s="54"/>
      <c r="J53" s="58" t="s">
        <v>1018</v>
      </c>
      <c r="K53" s="54" t="s">
        <v>1086</v>
      </c>
      <c r="L53" s="54" t="s">
        <v>711</v>
      </c>
      <c r="M53" s="59"/>
      <c r="N53" s="59"/>
      <c r="O53" s="54" t="s">
        <v>711</v>
      </c>
      <c r="P53" s="60"/>
      <c r="Q53" s="60"/>
      <c r="R53" s="54"/>
      <c r="S53" s="54"/>
      <c r="T53" s="54"/>
      <c r="U53" s="61">
        <v>0.95699999999999996</v>
      </c>
      <c r="V53" s="61"/>
      <c r="W53" s="61"/>
      <c r="X53" s="58">
        <f t="shared" si="0"/>
        <v>0.95699999999999996</v>
      </c>
      <c r="Y53" s="71">
        <v>47</v>
      </c>
      <c r="Z53" s="63" t="str">
        <f t="shared" si="2"/>
        <v>F</v>
      </c>
      <c r="AC53" s="58"/>
      <c r="AD53" s="160"/>
      <c r="AE53" s="160"/>
      <c r="AF53" s="160"/>
      <c r="AG53" s="160"/>
      <c r="AH53" s="160"/>
      <c r="AI53" s="160"/>
      <c r="AJ53" s="160"/>
      <c r="AK53" s="160"/>
      <c r="AL53" s="160"/>
    </row>
    <row r="54" spans="1:38">
      <c r="A54" s="53">
        <v>181</v>
      </c>
      <c r="B54" s="54" t="s">
        <v>766</v>
      </c>
      <c r="C54" s="54">
        <v>2009</v>
      </c>
      <c r="D54" s="83" t="s">
        <v>767</v>
      </c>
      <c r="E54" s="90" t="s">
        <v>49</v>
      </c>
      <c r="F54" s="79" t="s">
        <v>793</v>
      </c>
      <c r="G54" s="54" t="s">
        <v>860</v>
      </c>
      <c r="H54" s="78" t="s">
        <v>38</v>
      </c>
      <c r="I54" s="78"/>
      <c r="J54" s="78" t="s">
        <v>1018</v>
      </c>
      <c r="K54" s="78" t="s">
        <v>1150</v>
      </c>
      <c r="L54" s="79" t="s">
        <v>496</v>
      </c>
      <c r="M54" s="79" t="s">
        <v>811</v>
      </c>
      <c r="N54" s="79"/>
      <c r="O54" s="79" t="s">
        <v>861</v>
      </c>
      <c r="P54" s="79"/>
      <c r="Q54" s="79"/>
      <c r="R54" s="54"/>
      <c r="S54" s="54"/>
      <c r="T54" s="54"/>
      <c r="U54" s="79">
        <v>0.93600000000000005</v>
      </c>
      <c r="V54" s="165"/>
      <c r="W54" s="165"/>
      <c r="X54" s="58">
        <f t="shared" si="0"/>
        <v>0.93600000000000005</v>
      </c>
      <c r="Y54" s="82">
        <v>73.452451170000003</v>
      </c>
      <c r="Z54" s="63" t="str">
        <f t="shared" si="2"/>
        <v>F</v>
      </c>
      <c r="AA54" s="58"/>
      <c r="AB54" s="58"/>
      <c r="AC54" s="58"/>
      <c r="AD54" s="160"/>
      <c r="AE54" s="160"/>
      <c r="AF54" s="160"/>
      <c r="AG54" s="160"/>
      <c r="AH54" s="160"/>
      <c r="AI54" s="160"/>
      <c r="AJ54" s="160"/>
      <c r="AK54" s="160"/>
      <c r="AL54" s="160"/>
    </row>
    <row r="55" spans="1:38">
      <c r="A55" s="53">
        <v>181</v>
      </c>
      <c r="B55" s="54" t="s">
        <v>766</v>
      </c>
      <c r="C55" s="54">
        <v>2009</v>
      </c>
      <c r="D55" s="83" t="s">
        <v>767</v>
      </c>
      <c r="E55" s="84" t="s">
        <v>49</v>
      </c>
      <c r="F55" s="85" t="s">
        <v>808</v>
      </c>
      <c r="G55" s="54" t="s">
        <v>869</v>
      </c>
      <c r="H55" s="74" t="s">
        <v>43</v>
      </c>
      <c r="I55" s="74"/>
      <c r="J55" s="74" t="s">
        <v>1018</v>
      </c>
      <c r="K55" s="74" t="s">
        <v>1102</v>
      </c>
      <c r="L55" s="85" t="s">
        <v>791</v>
      </c>
      <c r="M55" s="85" t="s">
        <v>863</v>
      </c>
      <c r="N55" s="85"/>
      <c r="O55" s="85" t="s">
        <v>870</v>
      </c>
      <c r="P55" s="85"/>
      <c r="Q55" s="85"/>
      <c r="R55" s="54"/>
      <c r="S55" s="54"/>
      <c r="T55" s="54"/>
      <c r="U55" s="85">
        <v>0.93600000000000005</v>
      </c>
      <c r="V55" s="166"/>
      <c r="W55" s="166"/>
      <c r="X55" s="58">
        <f t="shared" si="0"/>
        <v>0.93600000000000005</v>
      </c>
      <c r="Y55" s="87">
        <v>73.5</v>
      </c>
      <c r="Z55" s="63" t="str">
        <f t="shared" si="2"/>
        <v>F</v>
      </c>
      <c r="AA55" s="58"/>
      <c r="AB55" s="58"/>
      <c r="AC55" s="58"/>
      <c r="AD55" s="160"/>
      <c r="AE55" s="160"/>
      <c r="AF55" s="160"/>
      <c r="AG55" s="160"/>
      <c r="AH55" s="160"/>
      <c r="AI55" s="160"/>
      <c r="AJ55" s="160"/>
      <c r="AK55" s="160"/>
      <c r="AL55" s="160"/>
    </row>
    <row r="56" spans="1:38">
      <c r="A56" s="53">
        <v>172</v>
      </c>
      <c r="B56" s="54" t="s">
        <v>585</v>
      </c>
      <c r="C56" s="54">
        <v>2010</v>
      </c>
      <c r="D56" s="54" t="s">
        <v>586</v>
      </c>
      <c r="E56" s="56" t="s">
        <v>589</v>
      </c>
      <c r="F56" s="57">
        <v>40228</v>
      </c>
      <c r="G56" s="54" t="s">
        <v>495</v>
      </c>
      <c r="H56" s="54" t="s">
        <v>41</v>
      </c>
      <c r="I56" s="54"/>
      <c r="J56" s="66" t="s">
        <v>1018</v>
      </c>
      <c r="K56" s="54" t="s">
        <v>1070</v>
      </c>
      <c r="L56" s="54" t="s">
        <v>618</v>
      </c>
      <c r="M56" s="88"/>
      <c r="N56" s="88"/>
      <c r="O56" s="54"/>
      <c r="P56" s="60"/>
      <c r="Q56" s="60"/>
      <c r="R56" s="54"/>
      <c r="S56" s="54"/>
      <c r="T56" s="54"/>
      <c r="U56" s="60">
        <v>0.93400000000000005</v>
      </c>
      <c r="V56" s="167"/>
      <c r="W56" s="167"/>
      <c r="X56" s="58">
        <f t="shared" si="0"/>
        <v>0.93400000000000005</v>
      </c>
      <c r="Y56" s="71">
        <v>84.01</v>
      </c>
      <c r="Z56" s="63" t="str">
        <f t="shared" si="2"/>
        <v>F</v>
      </c>
      <c r="AA56" s="58"/>
      <c r="AB56" s="58"/>
      <c r="AC56" s="58"/>
      <c r="AD56" s="160"/>
      <c r="AE56" s="160"/>
      <c r="AF56" s="160"/>
      <c r="AG56" s="160"/>
      <c r="AH56" s="160"/>
      <c r="AI56" s="160"/>
      <c r="AJ56" s="160"/>
      <c r="AK56" s="160"/>
      <c r="AL56" s="160"/>
    </row>
    <row r="57" spans="1:38">
      <c r="A57" s="58"/>
      <c r="B57" s="73" t="s">
        <v>979</v>
      </c>
      <c r="C57" s="54">
        <v>2015</v>
      </c>
      <c r="D57" s="58"/>
      <c r="E57" s="56" t="s">
        <v>49</v>
      </c>
      <c r="F57" s="58"/>
      <c r="G57" s="54" t="s">
        <v>835</v>
      </c>
      <c r="H57" s="66" t="s">
        <v>43</v>
      </c>
      <c r="I57" s="66"/>
      <c r="J57" s="95" t="s">
        <v>1018</v>
      </c>
      <c r="K57" s="66" t="s">
        <v>1018</v>
      </c>
      <c r="L57" s="54" t="s">
        <v>982</v>
      </c>
      <c r="M57" s="58"/>
      <c r="N57" s="58"/>
      <c r="O57" s="58"/>
      <c r="P57" s="58"/>
      <c r="Q57" s="58"/>
      <c r="R57" s="58"/>
      <c r="S57" s="58"/>
      <c r="T57" s="58"/>
      <c r="U57" s="54">
        <v>0.93300000000000005</v>
      </c>
      <c r="V57" s="58"/>
      <c r="W57" s="58"/>
      <c r="X57" s="58">
        <f t="shared" si="0"/>
        <v>0.93300000000000005</v>
      </c>
      <c r="Y57" s="71">
        <v>78</v>
      </c>
      <c r="Z57" s="63" t="str">
        <f t="shared" si="2"/>
        <v>F</v>
      </c>
      <c r="AA57" s="58"/>
      <c r="AB57" s="58"/>
      <c r="AC57" s="58"/>
      <c r="AD57" s="160"/>
      <c r="AE57" s="160"/>
      <c r="AF57" s="160"/>
      <c r="AG57" s="160"/>
      <c r="AH57" s="160"/>
      <c r="AI57" s="160"/>
      <c r="AJ57" s="160"/>
      <c r="AK57" s="160"/>
      <c r="AL57" s="160"/>
    </row>
    <row r="58" spans="1:38">
      <c r="A58" s="58"/>
      <c r="B58" s="73" t="s">
        <v>979</v>
      </c>
      <c r="C58" s="54">
        <v>2015</v>
      </c>
      <c r="D58" s="58"/>
      <c r="E58" s="56" t="s">
        <v>980</v>
      </c>
      <c r="F58" s="58"/>
      <c r="G58" s="54" t="s">
        <v>835</v>
      </c>
      <c r="H58" s="66" t="s">
        <v>43</v>
      </c>
      <c r="I58" s="66"/>
      <c r="J58" s="95" t="s">
        <v>1018</v>
      </c>
      <c r="K58" s="66" t="s">
        <v>1018</v>
      </c>
      <c r="L58" s="54" t="s">
        <v>982</v>
      </c>
      <c r="M58" s="58"/>
      <c r="N58" s="58"/>
      <c r="O58" s="58"/>
      <c r="P58" s="58"/>
      <c r="Q58" s="58"/>
      <c r="R58" s="58"/>
      <c r="S58" s="58"/>
      <c r="T58" s="58"/>
      <c r="U58" s="54">
        <v>0.93300000000000005</v>
      </c>
      <c r="V58" s="58"/>
      <c r="W58" s="58"/>
      <c r="X58" s="58">
        <f t="shared" si="0"/>
        <v>0.93300000000000005</v>
      </c>
      <c r="Y58" s="71">
        <v>78</v>
      </c>
      <c r="Z58" s="63" t="str">
        <f t="shared" si="2"/>
        <v>F</v>
      </c>
      <c r="AA58" s="58"/>
      <c r="AB58" s="58"/>
      <c r="AC58" s="58"/>
      <c r="AD58" s="160"/>
      <c r="AE58" s="160"/>
      <c r="AF58" s="160"/>
      <c r="AG58" s="160"/>
      <c r="AH58" s="160"/>
      <c r="AI58" s="160"/>
      <c r="AJ58" s="160"/>
      <c r="AK58" s="160"/>
      <c r="AL58" s="160"/>
    </row>
    <row r="59" spans="1:38">
      <c r="A59" s="53">
        <v>172</v>
      </c>
      <c r="B59" s="54" t="s">
        <v>585</v>
      </c>
      <c r="C59" s="54">
        <v>2010</v>
      </c>
      <c r="D59" s="54" t="s">
        <v>586</v>
      </c>
      <c r="E59" s="56" t="s">
        <v>589</v>
      </c>
      <c r="F59" s="57">
        <v>40229</v>
      </c>
      <c r="G59" s="54" t="s">
        <v>495</v>
      </c>
      <c r="H59" s="54" t="s">
        <v>41</v>
      </c>
      <c r="I59" s="54"/>
      <c r="J59" s="66" t="s">
        <v>1018</v>
      </c>
      <c r="K59" s="54" t="s">
        <v>1070</v>
      </c>
      <c r="L59" s="54" t="s">
        <v>619</v>
      </c>
      <c r="M59" s="88"/>
      <c r="N59" s="88"/>
      <c r="O59" s="54"/>
      <c r="P59" s="60"/>
      <c r="Q59" s="60"/>
      <c r="R59" s="54"/>
      <c r="S59" s="54"/>
      <c r="T59" s="54"/>
      <c r="U59" s="60">
        <v>0.92700000000000005</v>
      </c>
      <c r="V59" s="167"/>
      <c r="W59" s="167"/>
      <c r="X59" s="58">
        <f t="shared" si="0"/>
        <v>0.92700000000000005</v>
      </c>
      <c r="Y59" s="71">
        <v>88.76</v>
      </c>
      <c r="Z59" s="63" t="str">
        <f t="shared" si="2"/>
        <v>F</v>
      </c>
      <c r="AA59" s="58"/>
      <c r="AB59" s="58"/>
      <c r="AC59" s="58"/>
      <c r="AD59" s="160"/>
      <c r="AE59" s="160"/>
      <c r="AF59" s="160"/>
      <c r="AG59" s="160"/>
      <c r="AH59" s="160"/>
      <c r="AI59" s="160"/>
      <c r="AJ59" s="160"/>
      <c r="AK59" s="160"/>
      <c r="AL59" s="160"/>
    </row>
    <row r="60" spans="1:38">
      <c r="A60" s="53">
        <v>181</v>
      </c>
      <c r="B60" s="54" t="s">
        <v>766</v>
      </c>
      <c r="C60" s="54">
        <v>2009</v>
      </c>
      <c r="D60" s="83" t="s">
        <v>767</v>
      </c>
      <c r="E60" s="90" t="s">
        <v>49</v>
      </c>
      <c r="F60" s="79" t="s">
        <v>808</v>
      </c>
      <c r="G60" s="54" t="s">
        <v>862</v>
      </c>
      <c r="H60" s="78" t="s">
        <v>43</v>
      </c>
      <c r="I60" s="78"/>
      <c r="J60" s="78" t="s">
        <v>1018</v>
      </c>
      <c r="K60" s="78" t="s">
        <v>1102</v>
      </c>
      <c r="L60" s="79" t="s">
        <v>791</v>
      </c>
      <c r="M60" s="79" t="s">
        <v>863</v>
      </c>
      <c r="N60" s="79"/>
      <c r="O60" s="79" t="s">
        <v>864</v>
      </c>
      <c r="P60" s="79"/>
      <c r="Q60" s="79"/>
      <c r="R60" s="54"/>
      <c r="S60" s="54"/>
      <c r="T60" s="54"/>
      <c r="U60" s="79">
        <v>0.91400000000000003</v>
      </c>
      <c r="V60" s="165"/>
      <c r="W60" s="165"/>
      <c r="X60" s="58">
        <f t="shared" si="0"/>
        <v>0.91400000000000003</v>
      </c>
      <c r="Y60" s="82">
        <v>98.315355069999995</v>
      </c>
      <c r="Z60" s="63" t="str">
        <f t="shared" si="2"/>
        <v>F</v>
      </c>
      <c r="AA60" s="58"/>
      <c r="AB60" s="58"/>
      <c r="AC60" s="58"/>
      <c r="AD60" s="160"/>
      <c r="AE60" s="160"/>
      <c r="AF60" s="160"/>
      <c r="AG60" s="160"/>
      <c r="AH60" s="160"/>
      <c r="AI60" s="160"/>
      <c r="AJ60" s="160"/>
      <c r="AK60" s="160"/>
      <c r="AL60" s="160"/>
    </row>
    <row r="61" spans="1:38">
      <c r="A61" s="53">
        <v>181</v>
      </c>
      <c r="B61" s="54" t="s">
        <v>766</v>
      </c>
      <c r="C61" s="54">
        <v>2009</v>
      </c>
      <c r="D61" s="83" t="s">
        <v>767</v>
      </c>
      <c r="E61" s="90" t="s">
        <v>49</v>
      </c>
      <c r="F61" s="79" t="s">
        <v>793</v>
      </c>
      <c r="G61" s="54" t="s">
        <v>804</v>
      </c>
      <c r="H61" s="78" t="s">
        <v>38</v>
      </c>
      <c r="I61" s="78"/>
      <c r="J61" s="78" t="s">
        <v>1018</v>
      </c>
      <c r="K61" s="78" t="s">
        <v>1150</v>
      </c>
      <c r="L61" s="79" t="s">
        <v>496</v>
      </c>
      <c r="M61" s="79" t="s">
        <v>811</v>
      </c>
      <c r="N61" s="79"/>
      <c r="O61" s="79" t="s">
        <v>812</v>
      </c>
      <c r="P61" s="79"/>
      <c r="Q61" s="79"/>
      <c r="R61" s="54"/>
      <c r="S61" s="54"/>
      <c r="T61" s="54"/>
      <c r="U61" s="79">
        <v>0.91200000000000003</v>
      </c>
      <c r="V61" s="165"/>
      <c r="W61" s="165"/>
      <c r="X61" s="58">
        <f t="shared" si="0"/>
        <v>0.91200000000000003</v>
      </c>
      <c r="Y61" s="82">
        <v>99.516998470000004</v>
      </c>
      <c r="Z61" s="63" t="str">
        <f t="shared" si="2"/>
        <v>F</v>
      </c>
      <c r="AA61" s="58"/>
      <c r="AB61" s="58"/>
      <c r="AC61" s="58"/>
      <c r="AD61" s="160"/>
      <c r="AE61" s="160"/>
      <c r="AF61" s="160"/>
      <c r="AG61" s="160"/>
      <c r="AH61" s="160"/>
      <c r="AI61" s="160"/>
      <c r="AJ61" s="160"/>
      <c r="AK61" s="160"/>
      <c r="AL61" s="160"/>
    </row>
    <row r="62" spans="1:38">
      <c r="A62" s="53">
        <v>174</v>
      </c>
      <c r="B62" s="54" t="s">
        <v>697</v>
      </c>
      <c r="C62" s="54">
        <v>2009</v>
      </c>
      <c r="D62" s="55" t="s">
        <v>698</v>
      </c>
      <c r="E62" s="56" t="s">
        <v>20</v>
      </c>
      <c r="F62" s="57" t="s">
        <v>701</v>
      </c>
      <c r="G62" s="54" t="s">
        <v>716</v>
      </c>
      <c r="H62" s="54" t="s">
        <v>42</v>
      </c>
      <c r="I62" s="54"/>
      <c r="J62" s="58" t="s">
        <v>1018</v>
      </c>
      <c r="K62" s="54" t="s">
        <v>1102</v>
      </c>
      <c r="L62" s="54" t="s">
        <v>717</v>
      </c>
      <c r="M62" s="59"/>
      <c r="N62" s="59"/>
      <c r="O62" s="54" t="s">
        <v>87</v>
      </c>
      <c r="P62" s="60"/>
      <c r="Q62" s="60"/>
      <c r="R62" s="54"/>
      <c r="S62" s="54"/>
      <c r="T62" s="54"/>
      <c r="U62" s="61">
        <v>0.9</v>
      </c>
      <c r="V62" s="61"/>
      <c r="W62" s="61"/>
      <c r="X62" s="58">
        <f t="shared" si="0"/>
        <v>0.9</v>
      </c>
      <c r="Y62" s="71">
        <v>107</v>
      </c>
      <c r="Z62" s="63" t="str">
        <f t="shared" si="2"/>
        <v>F</v>
      </c>
      <c r="AA62" s="58"/>
      <c r="AB62" s="58"/>
      <c r="AC62" s="58"/>
      <c r="AD62" s="160"/>
      <c r="AE62" s="160"/>
      <c r="AF62" s="160"/>
      <c r="AG62" s="160"/>
      <c r="AH62" s="160"/>
      <c r="AI62" s="160"/>
      <c r="AJ62" s="160"/>
      <c r="AK62" s="160"/>
      <c r="AL62" s="160"/>
    </row>
    <row r="63" spans="1:38">
      <c r="A63" s="53">
        <v>174</v>
      </c>
      <c r="B63" s="54" t="s">
        <v>697</v>
      </c>
      <c r="C63" s="54">
        <v>2009</v>
      </c>
      <c r="D63" s="55" t="s">
        <v>698</v>
      </c>
      <c r="E63" s="56" t="s">
        <v>20</v>
      </c>
      <c r="F63" s="57" t="s">
        <v>701</v>
      </c>
      <c r="G63" s="54" t="s">
        <v>706</v>
      </c>
      <c r="H63" s="54" t="s">
        <v>43</v>
      </c>
      <c r="I63" s="54"/>
      <c r="J63" s="58" t="s">
        <v>1018</v>
      </c>
      <c r="K63" s="54" t="s">
        <v>1083</v>
      </c>
      <c r="L63" s="54" t="s">
        <v>707</v>
      </c>
      <c r="M63" s="59"/>
      <c r="N63" s="59"/>
      <c r="O63" s="54" t="s">
        <v>707</v>
      </c>
      <c r="P63" s="60"/>
      <c r="Q63" s="60"/>
      <c r="R63" s="54"/>
      <c r="S63" s="54"/>
      <c r="T63" s="54"/>
      <c r="U63" s="61">
        <v>0.89100000000000001</v>
      </c>
      <c r="V63" s="61"/>
      <c r="W63" s="61"/>
      <c r="X63" s="58">
        <f t="shared" si="0"/>
        <v>0.89100000000000001</v>
      </c>
      <c r="Y63" s="71">
        <v>119</v>
      </c>
      <c r="Z63" s="63" t="str">
        <f t="shared" si="2"/>
        <v>S</v>
      </c>
      <c r="AA63" s="58"/>
      <c r="AB63" s="58"/>
      <c r="AC63" s="58"/>
      <c r="AD63" s="160"/>
      <c r="AE63" s="160"/>
      <c r="AF63" s="160"/>
      <c r="AG63" s="160"/>
      <c r="AH63" s="160"/>
      <c r="AI63" s="160"/>
      <c r="AJ63" s="160"/>
      <c r="AK63" s="160"/>
      <c r="AL63" s="160"/>
    </row>
    <row r="64" spans="1:38" s="107" customFormat="1">
      <c r="A64" s="97">
        <v>180</v>
      </c>
      <c r="B64" s="178" t="s">
        <v>760</v>
      </c>
      <c r="C64" s="98">
        <v>1987</v>
      </c>
      <c r="D64" s="123" t="s">
        <v>761</v>
      </c>
      <c r="E64" s="99" t="s">
        <v>36</v>
      </c>
      <c r="F64" s="98">
        <v>1987</v>
      </c>
      <c r="G64" s="98" t="s">
        <v>40</v>
      </c>
      <c r="H64" s="98" t="s">
        <v>38</v>
      </c>
      <c r="I64" s="98"/>
      <c r="J64" s="98" t="s">
        <v>1073</v>
      </c>
      <c r="K64" s="98" t="s">
        <v>1074</v>
      </c>
      <c r="L64" s="98" t="s">
        <v>763</v>
      </c>
      <c r="M64" s="98"/>
      <c r="N64" s="98"/>
      <c r="O64" s="98" t="s">
        <v>763</v>
      </c>
      <c r="P64" s="98"/>
      <c r="Q64" s="98"/>
      <c r="R64" s="98"/>
      <c r="S64" s="98"/>
      <c r="T64" s="98"/>
      <c r="U64" s="98"/>
      <c r="V64" s="98"/>
      <c r="W64" s="98"/>
      <c r="X64" s="101" t="str">
        <f t="shared" si="0"/>
        <v/>
      </c>
      <c r="Y64" s="122">
        <v>77</v>
      </c>
      <c r="Z64" s="106" t="str">
        <f t="shared" si="2"/>
        <v/>
      </c>
      <c r="AA64" s="187"/>
      <c r="AB64" s="188" t="s">
        <v>1179</v>
      </c>
      <c r="AC64" s="188" t="s">
        <v>1182</v>
      </c>
      <c r="AD64" s="188" t="s">
        <v>1183</v>
      </c>
      <c r="AE64" s="188" t="s">
        <v>1184</v>
      </c>
      <c r="AF64" s="188" t="s">
        <v>1190</v>
      </c>
      <c r="AG64" s="188" t="s">
        <v>1186</v>
      </c>
      <c r="AK64" s="174"/>
      <c r="AL64" s="174"/>
    </row>
    <row r="65" spans="1:38" s="107" customFormat="1">
      <c r="A65" s="97">
        <v>180</v>
      </c>
      <c r="B65" s="178" t="s">
        <v>760</v>
      </c>
      <c r="C65" s="98">
        <v>1987</v>
      </c>
      <c r="D65" s="123" t="s">
        <v>761</v>
      </c>
      <c r="E65" s="99" t="s">
        <v>36</v>
      </c>
      <c r="F65" s="98">
        <v>1987</v>
      </c>
      <c r="G65" s="98" t="s">
        <v>40</v>
      </c>
      <c r="H65" s="98" t="s">
        <v>38</v>
      </c>
      <c r="I65" s="98"/>
      <c r="J65" s="98" t="s">
        <v>1073</v>
      </c>
      <c r="K65" s="98" t="s">
        <v>1074</v>
      </c>
      <c r="L65" s="98" t="s">
        <v>763</v>
      </c>
      <c r="M65" s="98"/>
      <c r="N65" s="98"/>
      <c r="O65" s="98" t="s">
        <v>763</v>
      </c>
      <c r="P65" s="98"/>
      <c r="Q65" s="98"/>
      <c r="R65" s="98"/>
      <c r="S65" s="98"/>
      <c r="T65" s="98"/>
      <c r="U65" s="98"/>
      <c r="V65" s="98"/>
      <c r="W65" s="98"/>
      <c r="X65" s="101" t="str">
        <f t="shared" si="0"/>
        <v/>
      </c>
      <c r="Y65" s="122">
        <v>112</v>
      </c>
      <c r="Z65" s="106" t="str">
        <f t="shared" si="2"/>
        <v/>
      </c>
      <c r="AA65" s="188" t="s">
        <v>1352</v>
      </c>
      <c r="AB65" s="191">
        <f>AVERAGE($Y$64:$Y$74)</f>
        <v>78.860411086363641</v>
      </c>
      <c r="AC65" s="191">
        <f>MEDIAN($Y$64:$Y$74)</f>
        <v>72</v>
      </c>
      <c r="AD65" s="191">
        <f>MAX($Y$64:$Y$74)</f>
        <v>129.5</v>
      </c>
      <c r="AE65" s="191">
        <f>MIN($Y$64:$Y$74)</f>
        <v>51.93</v>
      </c>
      <c r="AF65" s="191">
        <f>STDEV($Y$64:$Y$74)</f>
        <v>24.294947623791352</v>
      </c>
      <c r="AG65" s="191">
        <f>COUNT($Y$64:$Y$74)</f>
        <v>11</v>
      </c>
      <c r="AK65" s="174"/>
      <c r="AL65" s="174"/>
    </row>
    <row r="66" spans="1:38" s="107" customFormat="1">
      <c r="A66" s="97">
        <v>172</v>
      </c>
      <c r="B66" s="98" t="s">
        <v>585</v>
      </c>
      <c r="C66" s="98">
        <v>2010</v>
      </c>
      <c r="D66" s="98" t="s">
        <v>586</v>
      </c>
      <c r="E66" s="99" t="s">
        <v>589</v>
      </c>
      <c r="F66" s="100">
        <v>40231</v>
      </c>
      <c r="G66" s="98" t="s">
        <v>495</v>
      </c>
      <c r="H66" s="98" t="s">
        <v>41</v>
      </c>
      <c r="I66" s="98"/>
      <c r="J66" s="101" t="s">
        <v>1073</v>
      </c>
      <c r="K66" s="98" t="s">
        <v>1075</v>
      </c>
      <c r="L66" s="98" t="s">
        <v>623</v>
      </c>
      <c r="M66" s="102" t="s">
        <v>624</v>
      </c>
      <c r="N66" s="102" t="s">
        <v>625</v>
      </c>
      <c r="O66" s="98"/>
      <c r="P66" s="103"/>
      <c r="Q66" s="103"/>
      <c r="R66" s="98"/>
      <c r="S66" s="98"/>
      <c r="T66" s="98"/>
      <c r="U66" s="103">
        <v>0.95899999999999996</v>
      </c>
      <c r="V66" s="175"/>
      <c r="W66" s="175"/>
      <c r="X66" s="101">
        <f t="shared" ref="X66:X129" si="3">IF(R66&lt;&gt;0,IF(R66&gt;1,R66/100,R66),IF(U66&lt;&gt;0,IF(U66&gt;1,U66/100,U66),""))</f>
        <v>0.95899999999999996</v>
      </c>
      <c r="Y66" s="122">
        <v>51.93</v>
      </c>
      <c r="Z66" s="106" t="str">
        <f t="shared" ref="Z66:Z80" si="4">IF(X66&lt;&gt;"",IF(X66&lt;0.9,"S","F"),"")</f>
        <v>F</v>
      </c>
      <c r="AA66" s="188" t="s">
        <v>1354</v>
      </c>
      <c r="AB66" s="191">
        <f>AVERAGE($Y$66:$Y$73)</f>
        <v>68.620565243749994</v>
      </c>
      <c r="AC66" s="191">
        <f>MEDIAN($Y$66:$Y$73)</f>
        <v>65.777500164999992</v>
      </c>
      <c r="AD66" s="191">
        <f>MAX($Y$66:$Y$73)</f>
        <v>90.230216029999994</v>
      </c>
      <c r="AE66" s="191">
        <f>MIN($Y$66:$Y$73)</f>
        <v>51.93</v>
      </c>
      <c r="AF66" s="191">
        <f>STDEV($Y$66:$Y$73)</f>
        <v>14.129744761958079</v>
      </c>
      <c r="AG66" s="190">
        <f>COUNT($Y$66:$Y$73)</f>
        <v>8</v>
      </c>
      <c r="AK66" s="174"/>
      <c r="AL66" s="174"/>
    </row>
    <row r="67" spans="1:38" s="107" customFormat="1">
      <c r="A67" s="97">
        <v>172</v>
      </c>
      <c r="B67" s="98" t="s">
        <v>585</v>
      </c>
      <c r="C67" s="98">
        <v>2010</v>
      </c>
      <c r="D67" s="98" t="s">
        <v>586</v>
      </c>
      <c r="E67" s="99" t="s">
        <v>589</v>
      </c>
      <c r="F67" s="100">
        <v>40232</v>
      </c>
      <c r="G67" s="98" t="s">
        <v>495</v>
      </c>
      <c r="H67" s="98" t="s">
        <v>41</v>
      </c>
      <c r="I67" s="98"/>
      <c r="J67" s="101" t="s">
        <v>1073</v>
      </c>
      <c r="K67" s="98" t="s">
        <v>1074</v>
      </c>
      <c r="L67" s="98" t="s">
        <v>626</v>
      </c>
      <c r="M67" s="102" t="s">
        <v>627</v>
      </c>
      <c r="N67" s="102" t="s">
        <v>628</v>
      </c>
      <c r="O67" s="98"/>
      <c r="P67" s="103"/>
      <c r="Q67" s="103"/>
      <c r="R67" s="98"/>
      <c r="S67" s="98"/>
      <c r="T67" s="98"/>
      <c r="U67" s="103">
        <v>0.95399999999999996</v>
      </c>
      <c r="V67" s="175"/>
      <c r="W67" s="175"/>
      <c r="X67" s="101">
        <f t="shared" si="3"/>
        <v>0.95399999999999996</v>
      </c>
      <c r="Y67" s="122">
        <v>53.63</v>
      </c>
      <c r="Z67" s="106" t="str">
        <f t="shared" si="4"/>
        <v>F</v>
      </c>
      <c r="AA67" s="188" t="s">
        <v>1353</v>
      </c>
      <c r="AB67" s="189">
        <f>+$Y$74</f>
        <v>129.5</v>
      </c>
      <c r="AC67" s="188"/>
      <c r="AD67" s="188"/>
      <c r="AE67" s="188"/>
      <c r="AF67" s="188"/>
      <c r="AG67" s="189">
        <f>COUNT($Y$74)</f>
        <v>1</v>
      </c>
      <c r="AH67" s="174"/>
      <c r="AI67" s="174"/>
      <c r="AJ67" s="174"/>
      <c r="AK67" s="174"/>
      <c r="AL67" s="174"/>
    </row>
    <row r="68" spans="1:38" s="107" customFormat="1">
      <c r="A68" s="97">
        <v>203</v>
      </c>
      <c r="B68" s="123" t="s">
        <v>940</v>
      </c>
      <c r="C68" s="98">
        <v>2011</v>
      </c>
      <c r="D68" s="123" t="s">
        <v>941</v>
      </c>
      <c r="E68" s="99" t="s">
        <v>20</v>
      </c>
      <c r="F68" s="98">
        <v>2009</v>
      </c>
      <c r="G68" s="98" t="s">
        <v>326</v>
      </c>
      <c r="H68" s="98"/>
      <c r="I68" s="98"/>
      <c r="J68" s="101" t="s">
        <v>1073</v>
      </c>
      <c r="K68" s="98" t="s">
        <v>1113</v>
      </c>
      <c r="L68" s="98" t="s">
        <v>704</v>
      </c>
      <c r="M68" s="98"/>
      <c r="N68" s="98"/>
      <c r="O68" s="98">
        <v>45</v>
      </c>
      <c r="P68" s="98"/>
      <c r="Q68" s="98"/>
      <c r="R68" s="98"/>
      <c r="S68" s="98"/>
      <c r="T68" s="98"/>
      <c r="U68" s="98">
        <v>0.95</v>
      </c>
      <c r="V68" s="98"/>
      <c r="W68" s="98"/>
      <c r="X68" s="101">
        <f t="shared" si="3"/>
        <v>0.95</v>
      </c>
      <c r="Y68" s="122">
        <v>62.1</v>
      </c>
      <c r="Z68" s="106" t="str">
        <f t="shared" si="4"/>
        <v>F</v>
      </c>
      <c r="AD68" s="174"/>
      <c r="AE68" s="174"/>
      <c r="AF68" s="174"/>
      <c r="AG68" s="174"/>
      <c r="AH68" s="174"/>
      <c r="AI68" s="174"/>
      <c r="AJ68" s="174"/>
      <c r="AK68" s="174"/>
      <c r="AL68" s="174"/>
    </row>
    <row r="69" spans="1:38" s="107" customFormat="1">
      <c r="A69" s="97">
        <v>174</v>
      </c>
      <c r="B69" s="98" t="s">
        <v>697</v>
      </c>
      <c r="C69" s="98">
        <v>2009</v>
      </c>
      <c r="D69" s="108" t="s">
        <v>698</v>
      </c>
      <c r="E69" s="99" t="s">
        <v>20</v>
      </c>
      <c r="F69" s="100" t="s">
        <v>701</v>
      </c>
      <c r="G69" s="98"/>
      <c r="H69" s="98"/>
      <c r="I69" s="98"/>
      <c r="J69" s="101" t="s">
        <v>1073</v>
      </c>
      <c r="K69" s="98" t="s">
        <v>1092</v>
      </c>
      <c r="L69" s="98" t="s">
        <v>724</v>
      </c>
      <c r="M69" s="109"/>
      <c r="N69" s="109"/>
      <c r="O69" s="98" t="s">
        <v>724</v>
      </c>
      <c r="P69" s="103"/>
      <c r="Q69" s="103"/>
      <c r="R69" s="98"/>
      <c r="S69" s="98"/>
      <c r="T69" s="98"/>
      <c r="U69" s="104">
        <v>0.94299999999999995</v>
      </c>
      <c r="V69" s="104"/>
      <c r="W69" s="104"/>
      <c r="X69" s="101">
        <f t="shared" si="3"/>
        <v>0.94299999999999995</v>
      </c>
      <c r="Y69" s="122">
        <v>65.7</v>
      </c>
      <c r="Z69" s="106" t="str">
        <f t="shared" si="4"/>
        <v>F</v>
      </c>
      <c r="AD69" s="174"/>
      <c r="AE69" s="174"/>
      <c r="AF69" s="174"/>
      <c r="AG69" s="174"/>
      <c r="AH69" s="174"/>
      <c r="AI69" s="174"/>
      <c r="AJ69" s="174"/>
      <c r="AK69" s="174"/>
      <c r="AL69" s="174"/>
    </row>
    <row r="70" spans="1:38" s="107" customFormat="1">
      <c r="A70" s="97">
        <v>181</v>
      </c>
      <c r="B70" s="98" t="s">
        <v>766</v>
      </c>
      <c r="C70" s="98">
        <v>2009</v>
      </c>
      <c r="D70" s="112" t="s">
        <v>767</v>
      </c>
      <c r="E70" s="112" t="s">
        <v>49</v>
      </c>
      <c r="F70" s="119" t="s">
        <v>808</v>
      </c>
      <c r="G70" s="98" t="s">
        <v>817</v>
      </c>
      <c r="H70" s="108" t="s">
        <v>38</v>
      </c>
      <c r="I70" s="108"/>
      <c r="J70" s="108" t="s">
        <v>1073</v>
      </c>
      <c r="K70" s="108" t="s">
        <v>1104</v>
      </c>
      <c r="L70" s="119" t="s">
        <v>496</v>
      </c>
      <c r="M70" s="119" t="s">
        <v>818</v>
      </c>
      <c r="N70" s="119"/>
      <c r="O70" s="119" t="s">
        <v>824</v>
      </c>
      <c r="P70" s="119"/>
      <c r="Q70" s="119"/>
      <c r="R70" s="98"/>
      <c r="S70" s="98"/>
      <c r="T70" s="98"/>
      <c r="U70" s="119">
        <v>0.94199999999999995</v>
      </c>
      <c r="V70" s="177"/>
      <c r="W70" s="177"/>
      <c r="X70" s="101">
        <f t="shared" si="3"/>
        <v>0.94199999999999995</v>
      </c>
      <c r="Y70" s="121">
        <v>65.855000329999996</v>
      </c>
      <c r="Z70" s="106" t="str">
        <f t="shared" si="4"/>
        <v>F</v>
      </c>
      <c r="AD70" s="174"/>
      <c r="AE70" s="174"/>
      <c r="AF70" s="174"/>
      <c r="AG70" s="174"/>
      <c r="AH70" s="174"/>
      <c r="AI70" s="174"/>
      <c r="AJ70" s="174"/>
      <c r="AK70" s="174"/>
      <c r="AL70" s="174"/>
    </row>
    <row r="71" spans="1:38" s="107" customFormat="1">
      <c r="A71" s="97">
        <v>174</v>
      </c>
      <c r="B71" s="98" t="s">
        <v>697</v>
      </c>
      <c r="C71" s="98">
        <v>2009</v>
      </c>
      <c r="D71" s="108" t="s">
        <v>698</v>
      </c>
      <c r="E71" s="99" t="s">
        <v>20</v>
      </c>
      <c r="F71" s="100" t="s">
        <v>701</v>
      </c>
      <c r="G71" s="98" t="s">
        <v>730</v>
      </c>
      <c r="H71" s="98" t="s">
        <v>41</v>
      </c>
      <c r="I71" s="98"/>
      <c r="J71" s="98" t="s">
        <v>1073</v>
      </c>
      <c r="K71" s="98" t="s">
        <v>1145</v>
      </c>
      <c r="L71" s="98" t="s">
        <v>731</v>
      </c>
      <c r="M71" s="109"/>
      <c r="N71" s="109"/>
      <c r="O71" s="98" t="s">
        <v>731</v>
      </c>
      <c r="P71" s="103"/>
      <c r="Q71" s="103"/>
      <c r="R71" s="98"/>
      <c r="S71" s="98"/>
      <c r="T71" s="98"/>
      <c r="U71" s="104">
        <v>0.93300000000000005</v>
      </c>
      <c r="V71" s="104"/>
      <c r="W71" s="104"/>
      <c r="X71" s="101">
        <f t="shared" si="3"/>
        <v>0.93300000000000005</v>
      </c>
      <c r="Y71" s="122">
        <v>72</v>
      </c>
      <c r="Z71" s="106" t="str">
        <f t="shared" si="4"/>
        <v>F</v>
      </c>
      <c r="AA71" s="101"/>
      <c r="AB71" s="101"/>
      <c r="AC71" s="101"/>
      <c r="AD71" s="174"/>
      <c r="AE71" s="174"/>
      <c r="AF71" s="174"/>
      <c r="AG71" s="174"/>
      <c r="AH71" s="174"/>
      <c r="AI71" s="174"/>
      <c r="AJ71" s="174"/>
      <c r="AK71" s="174"/>
      <c r="AL71" s="174"/>
    </row>
    <row r="72" spans="1:38" s="107" customFormat="1">
      <c r="A72" s="97">
        <v>181</v>
      </c>
      <c r="B72" s="98" t="s">
        <v>766</v>
      </c>
      <c r="C72" s="98">
        <v>2009</v>
      </c>
      <c r="D72" s="112" t="s">
        <v>767</v>
      </c>
      <c r="E72" s="113" t="s">
        <v>49</v>
      </c>
      <c r="F72" s="114" t="s">
        <v>808</v>
      </c>
      <c r="G72" s="98" t="s">
        <v>817</v>
      </c>
      <c r="H72" s="115" t="s">
        <v>38</v>
      </c>
      <c r="I72" s="115"/>
      <c r="J72" s="108" t="s">
        <v>1073</v>
      </c>
      <c r="K72" s="108" t="s">
        <v>1104</v>
      </c>
      <c r="L72" s="114" t="s">
        <v>496</v>
      </c>
      <c r="M72" s="114" t="s">
        <v>818</v>
      </c>
      <c r="N72" s="114"/>
      <c r="O72" s="114" t="s">
        <v>819</v>
      </c>
      <c r="P72" s="114"/>
      <c r="Q72" s="114"/>
      <c r="R72" s="98"/>
      <c r="S72" s="98"/>
      <c r="T72" s="98"/>
      <c r="U72" s="114">
        <v>0.92300000000000004</v>
      </c>
      <c r="V72" s="176"/>
      <c r="W72" s="176"/>
      <c r="X72" s="101">
        <f t="shared" si="3"/>
        <v>0.92300000000000004</v>
      </c>
      <c r="Y72" s="117">
        <v>87.519305590000002</v>
      </c>
      <c r="Z72" s="106" t="str">
        <f t="shared" si="4"/>
        <v>F</v>
      </c>
      <c r="AA72" s="101"/>
      <c r="AB72" s="101"/>
      <c r="AC72" s="101"/>
      <c r="AD72" s="174"/>
      <c r="AE72" s="174"/>
      <c r="AF72" s="174"/>
      <c r="AG72" s="174"/>
      <c r="AH72" s="174"/>
      <c r="AI72" s="174"/>
      <c r="AJ72" s="174"/>
      <c r="AK72" s="174"/>
      <c r="AL72" s="174"/>
    </row>
    <row r="73" spans="1:38" s="107" customFormat="1">
      <c r="A73" s="97">
        <v>181</v>
      </c>
      <c r="B73" s="98" t="s">
        <v>766</v>
      </c>
      <c r="C73" s="98">
        <v>2009</v>
      </c>
      <c r="D73" s="112" t="s">
        <v>767</v>
      </c>
      <c r="E73" s="113" t="s">
        <v>49</v>
      </c>
      <c r="F73" s="114" t="s">
        <v>808</v>
      </c>
      <c r="G73" s="98" t="s">
        <v>817</v>
      </c>
      <c r="H73" s="115" t="s">
        <v>38</v>
      </c>
      <c r="I73" s="115"/>
      <c r="J73" s="108" t="s">
        <v>1073</v>
      </c>
      <c r="K73" s="108" t="s">
        <v>1104</v>
      </c>
      <c r="L73" s="114" t="s">
        <v>496</v>
      </c>
      <c r="M73" s="114" t="s">
        <v>818</v>
      </c>
      <c r="N73" s="114"/>
      <c r="O73" s="114" t="s">
        <v>825</v>
      </c>
      <c r="P73" s="114"/>
      <c r="Q73" s="114"/>
      <c r="R73" s="98"/>
      <c r="S73" s="98"/>
      <c r="T73" s="98"/>
      <c r="U73" s="114">
        <v>0.92100000000000004</v>
      </c>
      <c r="V73" s="176"/>
      <c r="W73" s="176"/>
      <c r="X73" s="101">
        <f t="shared" si="3"/>
        <v>0.92100000000000004</v>
      </c>
      <c r="Y73" s="117">
        <v>90.230216029999994</v>
      </c>
      <c r="Z73" s="106" t="str">
        <f t="shared" si="4"/>
        <v>F</v>
      </c>
      <c r="AA73" s="101"/>
      <c r="AB73" s="101"/>
      <c r="AC73" s="101"/>
      <c r="AD73" s="174"/>
      <c r="AE73" s="174"/>
      <c r="AF73" s="174"/>
      <c r="AG73" s="174"/>
      <c r="AH73" s="174"/>
      <c r="AI73" s="174"/>
      <c r="AJ73" s="174"/>
      <c r="AK73" s="174"/>
      <c r="AL73" s="174"/>
    </row>
    <row r="74" spans="1:38" s="107" customFormat="1">
      <c r="A74" s="97">
        <v>174</v>
      </c>
      <c r="B74" s="98" t="s">
        <v>697</v>
      </c>
      <c r="C74" s="98">
        <v>2009</v>
      </c>
      <c r="D74" s="108" t="s">
        <v>698</v>
      </c>
      <c r="E74" s="99" t="s">
        <v>20</v>
      </c>
      <c r="F74" s="100" t="s">
        <v>701</v>
      </c>
      <c r="G74" s="98" t="s">
        <v>41</v>
      </c>
      <c r="H74" s="98" t="s">
        <v>41</v>
      </c>
      <c r="I74" s="98"/>
      <c r="J74" s="101" t="s">
        <v>1073</v>
      </c>
      <c r="K74" s="98" t="s">
        <v>1104</v>
      </c>
      <c r="L74" s="98" t="s">
        <v>704</v>
      </c>
      <c r="M74" s="109"/>
      <c r="N74" s="109"/>
      <c r="O74" s="98" t="s">
        <v>704</v>
      </c>
      <c r="P74" s="103"/>
      <c r="Q74" s="103"/>
      <c r="R74" s="98"/>
      <c r="S74" s="98"/>
      <c r="T74" s="98"/>
      <c r="U74" s="104">
        <v>0.88600000000000001</v>
      </c>
      <c r="V74" s="104"/>
      <c r="W74" s="104"/>
      <c r="X74" s="101">
        <f t="shared" si="3"/>
        <v>0.88600000000000001</v>
      </c>
      <c r="Y74" s="122">
        <v>129.5</v>
      </c>
      <c r="Z74" s="106" t="str">
        <f t="shared" si="4"/>
        <v>S</v>
      </c>
      <c r="AA74" s="101"/>
      <c r="AB74" s="101"/>
      <c r="AC74" s="101"/>
      <c r="AD74" s="174"/>
      <c r="AE74" s="174"/>
      <c r="AF74" s="174"/>
      <c r="AG74" s="174"/>
      <c r="AH74" s="174"/>
      <c r="AI74" s="174"/>
      <c r="AJ74" s="174"/>
      <c r="AK74" s="174"/>
      <c r="AL74" s="174"/>
    </row>
    <row r="75" spans="1:38" s="45" customFormat="1">
      <c r="A75" s="53">
        <v>180</v>
      </c>
      <c r="B75" s="168" t="s">
        <v>760</v>
      </c>
      <c r="C75" s="54">
        <v>1987</v>
      </c>
      <c r="D75" s="73" t="s">
        <v>761</v>
      </c>
      <c r="E75" s="56" t="s">
        <v>36</v>
      </c>
      <c r="F75" s="54">
        <v>1987</v>
      </c>
      <c r="G75" s="54" t="s">
        <v>37</v>
      </c>
      <c r="H75" s="54" t="s">
        <v>38</v>
      </c>
      <c r="I75" s="54"/>
      <c r="J75" s="54" t="s">
        <v>1015</v>
      </c>
      <c r="K75" s="54" t="s">
        <v>1015</v>
      </c>
      <c r="L75" s="54" t="s">
        <v>497</v>
      </c>
      <c r="M75" s="54"/>
      <c r="N75" s="54"/>
      <c r="O75" s="54" t="s">
        <v>497</v>
      </c>
      <c r="P75" s="54"/>
      <c r="Q75" s="54"/>
      <c r="R75" s="54"/>
      <c r="S75" s="54"/>
      <c r="T75" s="54"/>
      <c r="U75" s="54"/>
      <c r="V75" s="54"/>
      <c r="W75" s="54"/>
      <c r="X75" s="66" t="str">
        <f t="shared" si="3"/>
        <v/>
      </c>
      <c r="Y75" s="71">
        <v>83</v>
      </c>
      <c r="Z75" s="192" t="str">
        <f t="shared" si="4"/>
        <v/>
      </c>
      <c r="AA75" s="195"/>
      <c r="AB75" s="196" t="s">
        <v>1179</v>
      </c>
      <c r="AC75" s="196" t="s">
        <v>1182</v>
      </c>
      <c r="AD75" s="196" t="s">
        <v>1183</v>
      </c>
      <c r="AE75" s="196" t="s">
        <v>1184</v>
      </c>
      <c r="AF75" s="196" t="s">
        <v>1190</v>
      </c>
      <c r="AG75" s="196" t="s">
        <v>1186</v>
      </c>
      <c r="AL75" s="172"/>
    </row>
    <row r="76" spans="1:38" s="45" customFormat="1">
      <c r="A76" s="53">
        <v>180</v>
      </c>
      <c r="B76" s="168" t="s">
        <v>760</v>
      </c>
      <c r="C76" s="54">
        <v>1987</v>
      </c>
      <c r="D76" s="73" t="s">
        <v>761</v>
      </c>
      <c r="E76" s="56" t="s">
        <v>36</v>
      </c>
      <c r="F76" s="54">
        <v>1987</v>
      </c>
      <c r="G76" s="54" t="s">
        <v>37</v>
      </c>
      <c r="H76" s="54" t="s">
        <v>38</v>
      </c>
      <c r="I76" s="54"/>
      <c r="J76" s="54" t="s">
        <v>1015</v>
      </c>
      <c r="K76" s="54" t="s">
        <v>1015</v>
      </c>
      <c r="L76" s="54" t="s">
        <v>497</v>
      </c>
      <c r="M76" s="54"/>
      <c r="N76" s="54"/>
      <c r="O76" s="54" t="s">
        <v>497</v>
      </c>
      <c r="P76" s="54"/>
      <c r="Q76" s="54"/>
      <c r="R76" s="54"/>
      <c r="S76" s="54"/>
      <c r="T76" s="54"/>
      <c r="U76" s="54"/>
      <c r="V76" s="54"/>
      <c r="W76" s="54"/>
      <c r="X76" s="66" t="str">
        <f t="shared" si="3"/>
        <v/>
      </c>
      <c r="Y76" s="71">
        <v>114</v>
      </c>
      <c r="Z76" s="192" t="str">
        <f t="shared" si="4"/>
        <v/>
      </c>
      <c r="AA76" s="293" t="s">
        <v>1355</v>
      </c>
      <c r="AB76" s="299">
        <f>AVERAGE($Y$75:$Y$127)</f>
        <v>94.627844329622661</v>
      </c>
      <c r="AC76" s="299">
        <f>MEDIAN($Y$75:$Y$127)</f>
        <v>78</v>
      </c>
      <c r="AD76" s="299">
        <f>MAX($Y$75:$Y$127)</f>
        <v>302</v>
      </c>
      <c r="AE76" s="299">
        <f>MIN($Y$75:$Y$127)</f>
        <v>17.8</v>
      </c>
      <c r="AF76" s="299">
        <f>STDEV($Y$75:$Y$127)</f>
        <v>55.690440626034402</v>
      </c>
      <c r="AG76" s="300">
        <f>COUNT($Y$75:$Y$127)</f>
        <v>53</v>
      </c>
      <c r="AL76" s="172"/>
    </row>
    <row r="77" spans="1:38" s="45" customFormat="1">
      <c r="A77" s="53">
        <v>142</v>
      </c>
      <c r="B77" s="78" t="s">
        <v>522</v>
      </c>
      <c r="C77" s="54">
        <v>2007</v>
      </c>
      <c r="D77" s="90" t="s">
        <v>523</v>
      </c>
      <c r="E77" s="56" t="s">
        <v>49</v>
      </c>
      <c r="F77" s="54">
        <v>2007</v>
      </c>
      <c r="G77" s="54" t="s">
        <v>41</v>
      </c>
      <c r="H77" s="54" t="s">
        <v>41</v>
      </c>
      <c r="I77" s="54"/>
      <c r="J77" s="66" t="s">
        <v>1015</v>
      </c>
      <c r="K77" s="54" t="s">
        <v>1019</v>
      </c>
      <c r="L77" s="54"/>
      <c r="M77" s="54" t="s">
        <v>526</v>
      </c>
      <c r="N77" s="54"/>
      <c r="O77" s="54" t="s">
        <v>527</v>
      </c>
      <c r="P77" s="54"/>
      <c r="Q77" s="54"/>
      <c r="R77" s="54"/>
      <c r="S77" s="54"/>
      <c r="T77" s="54"/>
      <c r="U77" s="54"/>
      <c r="V77" s="54"/>
      <c r="W77" s="54"/>
      <c r="X77" s="66" t="str">
        <f t="shared" si="3"/>
        <v/>
      </c>
      <c r="Y77" s="71">
        <v>44.18</v>
      </c>
      <c r="Z77" s="192" t="str">
        <f t="shared" si="4"/>
        <v/>
      </c>
      <c r="AA77" s="196" t="s">
        <v>1356</v>
      </c>
      <c r="AB77" s="197">
        <f>AVERAGE($Y$81:$Y$116)</f>
        <v>72.449326374166674</v>
      </c>
      <c r="AC77" s="197">
        <f>MEDIAN($Y$81:$Y$116)</f>
        <v>73.205253005000003</v>
      </c>
      <c r="AD77" s="197">
        <f>MAX($Y$81:$Y$116)</f>
        <v>116</v>
      </c>
      <c r="AE77" s="197">
        <f>MIN($Y$81:$Y$116)</f>
        <v>17.8</v>
      </c>
      <c r="AF77" s="197">
        <f>STDEV($Y$81:$Y$116)</f>
        <v>21.075134018741494</v>
      </c>
      <c r="AG77" s="198">
        <f>COUNT($Y$81:$Y$116)</f>
        <v>36</v>
      </c>
      <c r="AL77" s="172"/>
    </row>
    <row r="78" spans="1:38" s="45" customFormat="1">
      <c r="A78" s="53">
        <v>142</v>
      </c>
      <c r="B78" s="78" t="s">
        <v>522</v>
      </c>
      <c r="C78" s="54">
        <v>2007</v>
      </c>
      <c r="D78" s="90" t="s">
        <v>523</v>
      </c>
      <c r="E78" s="56" t="s">
        <v>49</v>
      </c>
      <c r="F78" s="54">
        <v>2007</v>
      </c>
      <c r="G78" s="54" t="s">
        <v>41</v>
      </c>
      <c r="H78" s="54" t="s">
        <v>41</v>
      </c>
      <c r="I78" s="54"/>
      <c r="J78" s="66" t="s">
        <v>1015</v>
      </c>
      <c r="K78" s="54" t="s">
        <v>1019</v>
      </c>
      <c r="L78" s="54"/>
      <c r="M78" s="54" t="s">
        <v>526</v>
      </c>
      <c r="N78" s="54"/>
      <c r="O78" s="54" t="s">
        <v>528</v>
      </c>
      <c r="P78" s="54"/>
      <c r="Q78" s="54"/>
      <c r="R78" s="54"/>
      <c r="S78" s="54"/>
      <c r="T78" s="54"/>
      <c r="U78" s="54"/>
      <c r="V78" s="54"/>
      <c r="W78" s="54"/>
      <c r="X78" s="66" t="str">
        <f t="shared" si="3"/>
        <v/>
      </c>
      <c r="Y78" s="71">
        <v>34.090000000000003</v>
      </c>
      <c r="Z78" s="192" t="str">
        <f t="shared" si="4"/>
        <v/>
      </c>
      <c r="AA78" s="196" t="s">
        <v>1357</v>
      </c>
      <c r="AB78" s="197">
        <f>AVERAGE($Y$117:$Y$124)</f>
        <v>156.22874999999999</v>
      </c>
      <c r="AC78" s="197">
        <f>MEDIAN($Y$117:$Y$127)</f>
        <v>158</v>
      </c>
      <c r="AD78" s="197">
        <f>MAX($Y$117:$Y$127)</f>
        <v>302</v>
      </c>
      <c r="AE78" s="197">
        <f>MIN($Y$117:$Y$127)</f>
        <v>113</v>
      </c>
      <c r="AF78" s="197">
        <f>STDEV($Y$117:$Y$127)</f>
        <v>57.606177146678846</v>
      </c>
      <c r="AG78" s="198">
        <f>COUNT($Y$117:$Y$127)</f>
        <v>11</v>
      </c>
      <c r="AH78" s="172"/>
      <c r="AI78" s="172"/>
      <c r="AJ78" s="172"/>
      <c r="AK78" s="172"/>
      <c r="AL78" s="172"/>
    </row>
    <row r="79" spans="1:38" s="45" customFormat="1">
      <c r="A79" s="53">
        <v>180</v>
      </c>
      <c r="B79" s="168" t="s">
        <v>760</v>
      </c>
      <c r="C79" s="54">
        <v>1987</v>
      </c>
      <c r="D79" s="73" t="s">
        <v>761</v>
      </c>
      <c r="E79" s="56" t="s">
        <v>36</v>
      </c>
      <c r="F79" s="54">
        <v>1987</v>
      </c>
      <c r="G79" s="54" t="s">
        <v>40</v>
      </c>
      <c r="H79" s="54" t="s">
        <v>38</v>
      </c>
      <c r="I79" s="54"/>
      <c r="J79" s="54" t="s">
        <v>1015</v>
      </c>
      <c r="K79" s="54" t="s">
        <v>1163</v>
      </c>
      <c r="L79" s="54" t="s">
        <v>764</v>
      </c>
      <c r="M79" s="54"/>
      <c r="N79" s="54"/>
      <c r="O79" s="54" t="s">
        <v>764</v>
      </c>
      <c r="P79" s="54"/>
      <c r="Q79" s="54"/>
      <c r="R79" s="54"/>
      <c r="S79" s="54"/>
      <c r="T79" s="54"/>
      <c r="U79" s="54"/>
      <c r="V79" s="54"/>
      <c r="W79" s="54"/>
      <c r="X79" s="66" t="str">
        <f t="shared" si="3"/>
        <v/>
      </c>
      <c r="Y79" s="71">
        <v>57</v>
      </c>
      <c r="Z79" s="192" t="str">
        <f t="shared" si="4"/>
        <v/>
      </c>
      <c r="AA79" s="196" t="s">
        <v>1373</v>
      </c>
      <c r="AB79" s="155">
        <f>AVERAGE($Y$125:$Y$127)</f>
        <v>254</v>
      </c>
      <c r="AC79" s="155">
        <f>MEDIAN($Y$125:$Y$127)</f>
        <v>238</v>
      </c>
      <c r="AD79" s="155">
        <f>MAX($Y$125:$Y$127)</f>
        <v>302</v>
      </c>
      <c r="AE79" s="155">
        <f>MIN($Y$125:$Y$127)</f>
        <v>222</v>
      </c>
      <c r="AF79" s="155">
        <f>STDEV($Y$125:$Y$127)</f>
        <v>42.332020977033451</v>
      </c>
      <c r="AG79" s="242">
        <f>COUNT($Y$125:$Y$127)</f>
        <v>3</v>
      </c>
      <c r="AH79" s="172"/>
      <c r="AI79" s="172"/>
      <c r="AJ79" s="172"/>
      <c r="AK79" s="172"/>
      <c r="AL79" s="172"/>
    </row>
    <row r="80" spans="1:38" s="45" customFormat="1">
      <c r="A80" s="53">
        <v>180</v>
      </c>
      <c r="B80" s="168" t="s">
        <v>760</v>
      </c>
      <c r="C80" s="54">
        <v>1987</v>
      </c>
      <c r="D80" s="73" t="s">
        <v>761</v>
      </c>
      <c r="E80" s="56" t="s">
        <v>36</v>
      </c>
      <c r="F80" s="54">
        <v>1987</v>
      </c>
      <c r="G80" s="54" t="s">
        <v>40</v>
      </c>
      <c r="H80" s="54" t="s">
        <v>38</v>
      </c>
      <c r="I80" s="54"/>
      <c r="J80" s="54" t="s">
        <v>1015</v>
      </c>
      <c r="K80" s="54" t="s">
        <v>1163</v>
      </c>
      <c r="L80" s="54" t="s">
        <v>764</v>
      </c>
      <c r="M80" s="54"/>
      <c r="N80" s="54"/>
      <c r="O80" s="54" t="s">
        <v>764</v>
      </c>
      <c r="P80" s="54"/>
      <c r="Q80" s="54"/>
      <c r="R80" s="54"/>
      <c r="S80" s="54"/>
      <c r="T80" s="54"/>
      <c r="U80" s="54"/>
      <c r="V80" s="54"/>
      <c r="W80" s="54"/>
      <c r="X80" s="66" t="str">
        <f t="shared" si="3"/>
        <v/>
      </c>
      <c r="Y80" s="71">
        <v>63</v>
      </c>
      <c r="Z80" s="192" t="str">
        <f t="shared" si="4"/>
        <v/>
      </c>
      <c r="AA80"/>
      <c r="AB80"/>
      <c r="AC80"/>
      <c r="AD80" s="172"/>
      <c r="AE80" s="172"/>
      <c r="AF80" s="172"/>
      <c r="AG80" s="172"/>
      <c r="AH80" s="172"/>
      <c r="AI80" s="172"/>
      <c r="AJ80" s="172"/>
      <c r="AK80" s="172"/>
      <c r="AL80" s="172"/>
    </row>
    <row r="81" spans="1:38" s="45" customFormat="1">
      <c r="A81" s="66"/>
      <c r="B81" s="73" t="s">
        <v>990</v>
      </c>
      <c r="C81" s="60">
        <v>2005</v>
      </c>
      <c r="D81" s="66"/>
      <c r="E81" s="73" t="s">
        <v>49</v>
      </c>
      <c r="F81" s="66"/>
      <c r="G81" s="66"/>
      <c r="H81" s="66" t="s">
        <v>38</v>
      </c>
      <c r="I81" s="66"/>
      <c r="J81" s="95" t="s">
        <v>1015</v>
      </c>
      <c r="K81" s="95" t="s">
        <v>1015</v>
      </c>
      <c r="L81" s="60" t="s">
        <v>991</v>
      </c>
      <c r="M81" s="66"/>
      <c r="N81" s="66"/>
      <c r="O81" s="66"/>
      <c r="P81" s="66"/>
      <c r="Q81" s="66"/>
      <c r="R81" s="66"/>
      <c r="S81" s="66"/>
      <c r="T81" s="66"/>
      <c r="U81" s="66"/>
      <c r="V81" s="66">
        <v>63.65</v>
      </c>
      <c r="W81" s="66"/>
      <c r="X81" s="66" t="str">
        <f t="shared" si="3"/>
        <v/>
      </c>
      <c r="Y81" s="206">
        <f>+V81</f>
        <v>63.65</v>
      </c>
      <c r="Z81" s="192" t="s">
        <v>1192</v>
      </c>
      <c r="AA81"/>
      <c r="AB81"/>
      <c r="AC81"/>
      <c r="AD81" s="172"/>
      <c r="AE81" s="172"/>
      <c r="AF81" s="172"/>
      <c r="AG81" s="172"/>
      <c r="AH81" s="172"/>
      <c r="AI81" s="172"/>
      <c r="AJ81" s="172"/>
      <c r="AK81" s="172"/>
      <c r="AL81" s="172"/>
    </row>
    <row r="82" spans="1:38" s="45" customFormat="1">
      <c r="A82" s="66"/>
      <c r="B82" s="73" t="s">
        <v>1000</v>
      </c>
      <c r="C82" s="60">
        <v>2013</v>
      </c>
      <c r="D82" s="66"/>
      <c r="E82" s="73" t="s">
        <v>49</v>
      </c>
      <c r="F82" s="66"/>
      <c r="G82" s="66"/>
      <c r="H82" s="66" t="s">
        <v>41</v>
      </c>
      <c r="I82" s="66"/>
      <c r="J82" s="66" t="s">
        <v>1015</v>
      </c>
      <c r="K82" s="85" t="s">
        <v>1016</v>
      </c>
      <c r="L82" s="60" t="s">
        <v>709</v>
      </c>
      <c r="M82" s="66" t="s">
        <v>1001</v>
      </c>
      <c r="N82" s="66"/>
      <c r="O82" s="66"/>
      <c r="P82" s="66"/>
      <c r="Q82" s="66"/>
      <c r="R82" s="66"/>
      <c r="S82" s="66"/>
      <c r="T82" s="66"/>
      <c r="U82" s="66">
        <v>0.99</v>
      </c>
      <c r="V82" s="66"/>
      <c r="W82" s="66"/>
      <c r="X82" s="66">
        <f t="shared" si="3"/>
        <v>0.99</v>
      </c>
      <c r="Y82" s="71">
        <v>17.8</v>
      </c>
      <c r="Z82" s="192" t="str">
        <f t="shared" ref="Z82:Z116" si="5">IF(X82&lt;&gt;"",IF(X82&lt;0.9,"S","F"),"")</f>
        <v>F</v>
      </c>
      <c r="AA82" s="66"/>
      <c r="AB82" s="66"/>
      <c r="AC82" s="66"/>
      <c r="AD82" s="172"/>
      <c r="AE82" s="172"/>
      <c r="AF82" s="172"/>
      <c r="AG82" s="172"/>
      <c r="AH82" s="172"/>
      <c r="AI82" s="172"/>
      <c r="AJ82" s="172"/>
      <c r="AK82" s="172"/>
      <c r="AL82" s="172"/>
    </row>
    <row r="83" spans="1:38" s="45" customFormat="1">
      <c r="A83" s="66"/>
      <c r="B83" s="73" t="s">
        <v>979</v>
      </c>
      <c r="C83" s="54">
        <v>2015</v>
      </c>
      <c r="D83" s="66"/>
      <c r="E83" s="56" t="s">
        <v>981</v>
      </c>
      <c r="F83" s="66"/>
      <c r="G83" s="54" t="s">
        <v>835</v>
      </c>
      <c r="H83" s="66" t="s">
        <v>43</v>
      </c>
      <c r="I83" s="66"/>
      <c r="J83" s="95" t="s">
        <v>1015</v>
      </c>
      <c r="K83" s="66" t="s">
        <v>1081</v>
      </c>
      <c r="L83" s="54" t="s">
        <v>983</v>
      </c>
      <c r="M83" s="66"/>
      <c r="N83" s="66"/>
      <c r="O83" s="66"/>
      <c r="P83" s="66"/>
      <c r="Q83" s="66"/>
      <c r="R83" s="66"/>
      <c r="S83" s="66"/>
      <c r="T83" s="66"/>
      <c r="U83" s="54">
        <v>0.97899999999999998</v>
      </c>
      <c r="V83" s="66"/>
      <c r="W83" s="66"/>
      <c r="X83" s="66">
        <f t="shared" si="3"/>
        <v>0.97899999999999998</v>
      </c>
      <c r="Y83" s="71">
        <v>24</v>
      </c>
      <c r="Z83" s="192" t="str">
        <f t="shared" si="5"/>
        <v>F</v>
      </c>
      <c r="AA83" s="66"/>
      <c r="AB83" s="66"/>
      <c r="AC83" s="66"/>
      <c r="AD83" s="172"/>
      <c r="AE83" s="172"/>
      <c r="AF83" s="172"/>
      <c r="AG83" s="172"/>
      <c r="AH83" s="172"/>
      <c r="AI83" s="172"/>
      <c r="AJ83" s="172"/>
      <c r="AK83" s="172"/>
      <c r="AL83" s="172"/>
    </row>
    <row r="84" spans="1:38" s="45" customFormat="1">
      <c r="A84" s="66"/>
      <c r="B84" s="73" t="s">
        <v>1000</v>
      </c>
      <c r="C84" s="60">
        <v>2013</v>
      </c>
      <c r="D84" s="66"/>
      <c r="E84" s="73" t="s">
        <v>49</v>
      </c>
      <c r="F84" s="66"/>
      <c r="G84" s="66"/>
      <c r="H84" s="66" t="s">
        <v>41</v>
      </c>
      <c r="I84" s="66"/>
      <c r="J84" s="66" t="s">
        <v>1015</v>
      </c>
      <c r="K84" s="85" t="s">
        <v>1016</v>
      </c>
      <c r="L84" s="60" t="s">
        <v>709</v>
      </c>
      <c r="M84" s="66" t="s">
        <v>1001</v>
      </c>
      <c r="N84" s="66"/>
      <c r="O84" s="66"/>
      <c r="P84" s="66"/>
      <c r="Q84" s="66"/>
      <c r="R84" s="66"/>
      <c r="S84" s="66"/>
      <c r="T84" s="66"/>
      <c r="U84" s="66">
        <v>0.97</v>
      </c>
      <c r="V84" s="66"/>
      <c r="W84" s="66"/>
      <c r="X84" s="66">
        <f t="shared" si="3"/>
        <v>0.97</v>
      </c>
      <c r="Y84" s="71">
        <v>52.9</v>
      </c>
      <c r="Z84" s="192" t="str">
        <f t="shared" si="5"/>
        <v>F</v>
      </c>
      <c r="AA84" s="66"/>
      <c r="AB84" s="66"/>
      <c r="AC84" s="66"/>
      <c r="AD84" s="172"/>
      <c r="AE84" s="172"/>
      <c r="AF84" s="172"/>
      <c r="AG84" s="172"/>
      <c r="AH84" s="172"/>
      <c r="AI84" s="172"/>
      <c r="AJ84" s="172"/>
      <c r="AK84" s="172"/>
      <c r="AL84" s="172"/>
    </row>
    <row r="85" spans="1:38" s="45" customFormat="1">
      <c r="A85" s="95"/>
      <c r="B85" s="73" t="s">
        <v>992</v>
      </c>
      <c r="C85" s="60">
        <v>2013</v>
      </c>
      <c r="D85" s="95"/>
      <c r="E85" s="73" t="s">
        <v>172</v>
      </c>
      <c r="F85" s="95"/>
      <c r="G85" s="95"/>
      <c r="H85" s="95" t="s">
        <v>771</v>
      </c>
      <c r="I85" s="95"/>
      <c r="J85" s="95" t="s">
        <v>1015</v>
      </c>
      <c r="K85" s="95" t="s">
        <v>1085</v>
      </c>
      <c r="L85" s="60" t="s">
        <v>999</v>
      </c>
      <c r="M85" s="60"/>
      <c r="N85" s="60"/>
      <c r="O85" s="95"/>
      <c r="P85" s="95"/>
      <c r="Q85" s="95"/>
      <c r="R85" s="95"/>
      <c r="S85" s="95"/>
      <c r="T85" s="95"/>
      <c r="U85" s="95">
        <v>0.95699999999999996</v>
      </c>
      <c r="V85" s="95"/>
      <c r="W85" s="95"/>
      <c r="X85" s="66">
        <f t="shared" si="3"/>
        <v>0.95699999999999996</v>
      </c>
      <c r="Y85" s="71">
        <v>49</v>
      </c>
      <c r="Z85" s="192" t="str">
        <f t="shared" si="5"/>
        <v>F</v>
      </c>
      <c r="AA85" s="66"/>
      <c r="AB85" s="66"/>
      <c r="AC85" s="66"/>
      <c r="AD85" s="172"/>
      <c r="AE85" s="172"/>
      <c r="AF85" s="172"/>
      <c r="AG85" s="172"/>
      <c r="AH85" s="172"/>
      <c r="AI85" s="172"/>
      <c r="AJ85" s="172"/>
      <c r="AK85" s="172"/>
      <c r="AL85" s="172"/>
    </row>
    <row r="86" spans="1:38" s="45" customFormat="1">
      <c r="A86" s="53">
        <v>173</v>
      </c>
      <c r="B86" s="54" t="s">
        <v>585</v>
      </c>
      <c r="C86" s="54">
        <v>2011</v>
      </c>
      <c r="D86" s="78" t="s">
        <v>636</v>
      </c>
      <c r="E86" s="56" t="s">
        <v>638</v>
      </c>
      <c r="F86" s="57" t="s">
        <v>642</v>
      </c>
      <c r="G86" s="54" t="s">
        <v>643</v>
      </c>
      <c r="H86" s="54" t="s">
        <v>41</v>
      </c>
      <c r="I86" s="54"/>
      <c r="J86" s="66" t="s">
        <v>1015</v>
      </c>
      <c r="K86" s="54" t="s">
        <v>1081</v>
      </c>
      <c r="L86" s="54" t="s">
        <v>640</v>
      </c>
      <c r="M86" s="59"/>
      <c r="N86" s="59"/>
      <c r="O86" s="54" t="s">
        <v>646</v>
      </c>
      <c r="P86" s="60"/>
      <c r="Q86" s="60"/>
      <c r="R86" s="54"/>
      <c r="S86" s="54"/>
      <c r="T86" s="54"/>
      <c r="U86" s="61">
        <v>0.95699999999999996</v>
      </c>
      <c r="V86" s="61"/>
      <c r="W86" s="61"/>
      <c r="X86" s="66">
        <f t="shared" si="3"/>
        <v>0.95699999999999996</v>
      </c>
      <c r="Y86" s="71">
        <v>50</v>
      </c>
      <c r="Z86" s="192" t="str">
        <f t="shared" si="5"/>
        <v>F</v>
      </c>
      <c r="AA86" s="66"/>
      <c r="AB86" s="66"/>
      <c r="AC86" s="66"/>
      <c r="AD86" s="172"/>
      <c r="AE86" s="172"/>
      <c r="AF86" s="172"/>
      <c r="AG86" s="172"/>
      <c r="AH86" s="172"/>
      <c r="AI86" s="172"/>
      <c r="AJ86" s="172"/>
      <c r="AK86" s="172"/>
      <c r="AL86" s="172"/>
    </row>
    <row r="87" spans="1:38" s="45" customFormat="1">
      <c r="A87" s="53">
        <v>173</v>
      </c>
      <c r="B87" s="54" t="s">
        <v>585</v>
      </c>
      <c r="C87" s="54">
        <v>2011</v>
      </c>
      <c r="D87" s="78" t="s">
        <v>636</v>
      </c>
      <c r="E87" s="56" t="s">
        <v>638</v>
      </c>
      <c r="F87" s="57" t="s">
        <v>653</v>
      </c>
      <c r="G87" s="54" t="s">
        <v>643</v>
      </c>
      <c r="H87" s="54" t="s">
        <v>41</v>
      </c>
      <c r="I87" s="54"/>
      <c r="J87" s="54" t="s">
        <v>1015</v>
      </c>
      <c r="K87" s="54" t="s">
        <v>1067</v>
      </c>
      <c r="L87" s="54" t="s">
        <v>654</v>
      </c>
      <c r="M87" s="59"/>
      <c r="N87" s="59"/>
      <c r="O87" s="54" t="s">
        <v>655</v>
      </c>
      <c r="P87" s="60"/>
      <c r="Q87" s="60"/>
      <c r="R87" s="54"/>
      <c r="S87" s="54"/>
      <c r="T87" s="54"/>
      <c r="U87" s="61">
        <v>0.95199999999999996</v>
      </c>
      <c r="V87" s="61"/>
      <c r="W87" s="61"/>
      <c r="X87" s="66">
        <f t="shared" si="3"/>
        <v>0.95199999999999996</v>
      </c>
      <c r="Y87" s="71">
        <v>55</v>
      </c>
      <c r="Z87" s="192" t="str">
        <f t="shared" si="5"/>
        <v>F</v>
      </c>
      <c r="AA87" s="66"/>
      <c r="AB87" s="66"/>
      <c r="AC87" s="66"/>
      <c r="AD87" s="172"/>
      <c r="AE87" s="172"/>
      <c r="AF87" s="172"/>
      <c r="AG87" s="172"/>
      <c r="AH87" s="172"/>
      <c r="AI87" s="172"/>
      <c r="AJ87" s="172"/>
      <c r="AK87" s="172"/>
      <c r="AL87" s="172"/>
    </row>
    <row r="88" spans="1:38" s="45" customFormat="1">
      <c r="A88" s="53">
        <v>181</v>
      </c>
      <c r="B88" s="54" t="s">
        <v>766</v>
      </c>
      <c r="C88" s="54">
        <v>2009</v>
      </c>
      <c r="D88" s="90" t="s">
        <v>767</v>
      </c>
      <c r="E88" s="90" t="s">
        <v>49</v>
      </c>
      <c r="F88" s="79" t="s">
        <v>799</v>
      </c>
      <c r="G88" s="54" t="s">
        <v>847</v>
      </c>
      <c r="H88" s="78" t="s">
        <v>43</v>
      </c>
      <c r="I88" s="78"/>
      <c r="J88" s="74" t="s">
        <v>1015</v>
      </c>
      <c r="K88" s="74" t="s">
        <v>1021</v>
      </c>
      <c r="L88" s="79" t="s">
        <v>496</v>
      </c>
      <c r="M88" s="79" t="s">
        <v>809</v>
      </c>
      <c r="N88" s="79" t="s">
        <v>848</v>
      </c>
      <c r="O88" s="79" t="s">
        <v>857</v>
      </c>
      <c r="P88" s="79"/>
      <c r="Q88" s="79"/>
      <c r="R88" s="54"/>
      <c r="S88" s="54"/>
      <c r="T88" s="54"/>
      <c r="U88" s="79">
        <v>0.95199999999999996</v>
      </c>
      <c r="V88" s="165"/>
      <c r="W88" s="165"/>
      <c r="X88" s="66">
        <f t="shared" si="3"/>
        <v>0.95199999999999996</v>
      </c>
      <c r="Y88" s="82">
        <v>55.260416769999999</v>
      </c>
      <c r="Z88" s="192" t="str">
        <f t="shared" si="5"/>
        <v>F</v>
      </c>
      <c r="AA88" s="66"/>
      <c r="AB88" s="66"/>
      <c r="AC88" s="66"/>
      <c r="AD88" s="172"/>
      <c r="AE88" s="172"/>
      <c r="AF88" s="172"/>
      <c r="AG88" s="172"/>
      <c r="AH88" s="172"/>
      <c r="AI88" s="172"/>
      <c r="AJ88" s="172"/>
      <c r="AK88" s="172"/>
      <c r="AL88" s="172"/>
    </row>
    <row r="89" spans="1:38" s="45" customFormat="1">
      <c r="A89" s="53">
        <v>173</v>
      </c>
      <c r="B89" s="54" t="s">
        <v>585</v>
      </c>
      <c r="C89" s="54">
        <v>2011</v>
      </c>
      <c r="D89" s="78" t="s">
        <v>636</v>
      </c>
      <c r="E89" s="56" t="s">
        <v>638</v>
      </c>
      <c r="F89" s="57" t="s">
        <v>642</v>
      </c>
      <c r="G89" s="54" t="s">
        <v>643</v>
      </c>
      <c r="H89" s="54" t="s">
        <v>41</v>
      </c>
      <c r="I89" s="54"/>
      <c r="J89" s="66" t="s">
        <v>1015</v>
      </c>
      <c r="K89" s="54" t="s">
        <v>1080</v>
      </c>
      <c r="L89" s="54" t="s">
        <v>644</v>
      </c>
      <c r="M89" s="59"/>
      <c r="N89" s="59"/>
      <c r="O89" s="54" t="s">
        <v>645</v>
      </c>
      <c r="P89" s="60"/>
      <c r="Q89" s="60"/>
      <c r="R89" s="54"/>
      <c r="S89" s="54"/>
      <c r="T89" s="54"/>
      <c r="U89" s="61">
        <v>0.95099999999999996</v>
      </c>
      <c r="V89" s="61"/>
      <c r="W89" s="61"/>
      <c r="X89" s="66">
        <f t="shared" si="3"/>
        <v>0.95099999999999996</v>
      </c>
      <c r="Y89" s="71">
        <v>56</v>
      </c>
      <c r="Z89" s="192" t="str">
        <f t="shared" si="5"/>
        <v>F</v>
      </c>
      <c r="AA89" s="66"/>
      <c r="AB89" s="66"/>
      <c r="AC89" s="66"/>
      <c r="AD89" s="172"/>
      <c r="AE89" s="172"/>
      <c r="AF89" s="172"/>
      <c r="AG89" s="172"/>
      <c r="AH89" s="172"/>
      <c r="AI89" s="172"/>
      <c r="AJ89" s="172"/>
      <c r="AK89" s="172"/>
      <c r="AL89" s="172"/>
    </row>
    <row r="90" spans="1:38" s="45" customFormat="1">
      <c r="A90" s="53">
        <v>173</v>
      </c>
      <c r="B90" s="54" t="s">
        <v>585</v>
      </c>
      <c r="C90" s="54">
        <v>2011</v>
      </c>
      <c r="D90" s="78" t="s">
        <v>636</v>
      </c>
      <c r="E90" s="56" t="s">
        <v>638</v>
      </c>
      <c r="F90" s="57" t="s">
        <v>650</v>
      </c>
      <c r="G90" s="54" t="s">
        <v>495</v>
      </c>
      <c r="H90" s="54" t="s">
        <v>41</v>
      </c>
      <c r="I90" s="54"/>
      <c r="J90" s="66" t="s">
        <v>1015</v>
      </c>
      <c r="K90" s="54" t="s">
        <v>1077</v>
      </c>
      <c r="L90" s="54" t="s">
        <v>651</v>
      </c>
      <c r="M90" s="59"/>
      <c r="N90" s="59"/>
      <c r="O90" s="54" t="s">
        <v>652</v>
      </c>
      <c r="P90" s="60"/>
      <c r="Q90" s="60"/>
      <c r="R90" s="54"/>
      <c r="S90" s="54"/>
      <c r="T90" s="54"/>
      <c r="U90" s="61">
        <v>0.94499999999999995</v>
      </c>
      <c r="V90" s="61"/>
      <c r="W90" s="61"/>
      <c r="X90" s="66">
        <f t="shared" si="3"/>
        <v>0.94499999999999995</v>
      </c>
      <c r="Y90" s="71">
        <v>63</v>
      </c>
      <c r="Z90" s="192" t="str">
        <f t="shared" si="5"/>
        <v>F</v>
      </c>
      <c r="AA90" s="66"/>
      <c r="AB90" s="66"/>
      <c r="AC90" s="66"/>
      <c r="AD90" s="172"/>
      <c r="AE90" s="172"/>
      <c r="AF90" s="172"/>
      <c r="AG90" s="172"/>
      <c r="AH90" s="172"/>
      <c r="AI90" s="172"/>
      <c r="AJ90" s="172"/>
      <c r="AK90" s="172"/>
      <c r="AL90" s="172"/>
    </row>
    <row r="91" spans="1:38" s="45" customFormat="1">
      <c r="A91" s="53">
        <v>174</v>
      </c>
      <c r="B91" s="54" t="s">
        <v>697</v>
      </c>
      <c r="C91" s="54">
        <v>2009</v>
      </c>
      <c r="D91" s="78" t="s">
        <v>698</v>
      </c>
      <c r="E91" s="56" t="s">
        <v>20</v>
      </c>
      <c r="F91" s="57" t="s">
        <v>701</v>
      </c>
      <c r="G91" s="54" t="s">
        <v>708</v>
      </c>
      <c r="H91" s="54" t="s">
        <v>708</v>
      </c>
      <c r="I91" s="54"/>
      <c r="J91" s="66" t="s">
        <v>1015</v>
      </c>
      <c r="K91" s="54" t="s">
        <v>1021</v>
      </c>
      <c r="L91" s="54" t="s">
        <v>709</v>
      </c>
      <c r="M91" s="59"/>
      <c r="N91" s="59"/>
      <c r="O91" s="54" t="s">
        <v>709</v>
      </c>
      <c r="P91" s="60"/>
      <c r="Q91" s="60"/>
      <c r="R91" s="54"/>
      <c r="S91" s="54"/>
      <c r="T91" s="54"/>
      <c r="U91" s="61">
        <v>0.94399999999999995</v>
      </c>
      <c r="V91" s="61"/>
      <c r="W91" s="61"/>
      <c r="X91" s="66">
        <f t="shared" si="3"/>
        <v>0.94399999999999995</v>
      </c>
      <c r="Y91" s="71">
        <v>60.8</v>
      </c>
      <c r="Z91" s="192" t="str">
        <f t="shared" si="5"/>
        <v>F</v>
      </c>
      <c r="AA91" s="66"/>
      <c r="AB91" s="66"/>
      <c r="AC91" s="66"/>
      <c r="AD91" s="172"/>
      <c r="AE91" s="172"/>
      <c r="AF91" s="172"/>
      <c r="AG91" s="172"/>
      <c r="AH91" s="172"/>
      <c r="AI91" s="172"/>
      <c r="AJ91" s="172"/>
      <c r="AK91" s="172"/>
      <c r="AL91" s="172"/>
    </row>
    <row r="92" spans="1:38" s="45" customFormat="1">
      <c r="A92" s="53">
        <v>173</v>
      </c>
      <c r="B92" s="54" t="s">
        <v>585</v>
      </c>
      <c r="C92" s="54">
        <v>2011</v>
      </c>
      <c r="D92" s="78" t="s">
        <v>636</v>
      </c>
      <c r="E92" s="56" t="s">
        <v>638</v>
      </c>
      <c r="F92" s="57" t="s">
        <v>639</v>
      </c>
      <c r="G92" s="54" t="s">
        <v>495</v>
      </c>
      <c r="H92" s="54" t="s">
        <v>41</v>
      </c>
      <c r="I92" s="54"/>
      <c r="J92" s="66" t="s">
        <v>1015</v>
      </c>
      <c r="K92" s="54" t="s">
        <v>1076</v>
      </c>
      <c r="L92" s="54" t="s">
        <v>640</v>
      </c>
      <c r="M92" s="59"/>
      <c r="N92" s="59"/>
      <c r="O92" s="54" t="s">
        <v>641</v>
      </c>
      <c r="P92" s="60"/>
      <c r="Q92" s="60"/>
      <c r="R92" s="54"/>
      <c r="S92" s="54"/>
      <c r="T92" s="54"/>
      <c r="U92" s="61">
        <v>0.94299999999999995</v>
      </c>
      <c r="V92" s="61"/>
      <c r="W92" s="61"/>
      <c r="X92" s="66">
        <f t="shared" si="3"/>
        <v>0.94299999999999995</v>
      </c>
      <c r="Y92" s="71">
        <v>65</v>
      </c>
      <c r="Z92" s="192" t="str">
        <f t="shared" si="5"/>
        <v>F</v>
      </c>
      <c r="AA92" s="66"/>
      <c r="AB92" s="66"/>
      <c r="AC92" s="66"/>
      <c r="AD92" s="172"/>
      <c r="AE92" s="172"/>
      <c r="AF92" s="172"/>
      <c r="AG92" s="172"/>
      <c r="AH92" s="172"/>
      <c r="AI92" s="172"/>
      <c r="AJ92" s="172"/>
      <c r="AK92" s="172"/>
      <c r="AL92" s="172"/>
    </row>
    <row r="93" spans="1:38" s="45" customFormat="1">
      <c r="A93" s="53">
        <v>181</v>
      </c>
      <c r="B93" s="54" t="s">
        <v>766</v>
      </c>
      <c r="C93" s="54">
        <v>2009</v>
      </c>
      <c r="D93" s="90" t="s">
        <v>767</v>
      </c>
      <c r="E93" s="90" t="s">
        <v>49</v>
      </c>
      <c r="F93" s="79" t="s">
        <v>808</v>
      </c>
      <c r="G93" s="54" t="s">
        <v>804</v>
      </c>
      <c r="H93" s="78" t="s">
        <v>38</v>
      </c>
      <c r="I93" s="78"/>
      <c r="J93" s="78" t="s">
        <v>1015</v>
      </c>
      <c r="K93" s="78" t="s">
        <v>1019</v>
      </c>
      <c r="L93" s="79" t="s">
        <v>496</v>
      </c>
      <c r="M93" s="79" t="s">
        <v>533</v>
      </c>
      <c r="N93" s="79"/>
      <c r="O93" s="79" t="s">
        <v>827</v>
      </c>
      <c r="P93" s="79"/>
      <c r="Q93" s="79"/>
      <c r="R93" s="54"/>
      <c r="S93" s="54"/>
      <c r="T93" s="54"/>
      <c r="U93" s="79">
        <v>0.94199999999999995</v>
      </c>
      <c r="V93" s="165"/>
      <c r="W93" s="165"/>
      <c r="X93" s="66">
        <f t="shared" si="3"/>
        <v>0.94199999999999995</v>
      </c>
      <c r="Y93" s="82">
        <v>66.451825310000004</v>
      </c>
      <c r="Z93" s="192" t="str">
        <f t="shared" si="5"/>
        <v>F</v>
      </c>
      <c r="AA93" s="66"/>
      <c r="AB93" s="66"/>
      <c r="AC93" s="66"/>
      <c r="AD93" s="172"/>
      <c r="AE93" s="172"/>
      <c r="AF93" s="172"/>
      <c r="AG93" s="172"/>
      <c r="AH93" s="172"/>
      <c r="AI93" s="172"/>
      <c r="AJ93" s="172"/>
      <c r="AK93" s="172"/>
      <c r="AL93" s="172"/>
    </row>
    <row r="94" spans="1:38" s="45" customFormat="1">
      <c r="A94" s="53">
        <v>173</v>
      </c>
      <c r="B94" s="54" t="s">
        <v>585</v>
      </c>
      <c r="C94" s="54">
        <v>2011</v>
      </c>
      <c r="D94" s="78" t="s">
        <v>636</v>
      </c>
      <c r="E94" s="56" t="s">
        <v>638</v>
      </c>
      <c r="F94" s="57" t="s">
        <v>647</v>
      </c>
      <c r="G94" s="54" t="s">
        <v>643</v>
      </c>
      <c r="H94" s="54" t="s">
        <v>41</v>
      </c>
      <c r="I94" s="54"/>
      <c r="J94" s="54" t="s">
        <v>1015</v>
      </c>
      <c r="K94" s="54" t="s">
        <v>1081</v>
      </c>
      <c r="L94" s="54" t="s">
        <v>648</v>
      </c>
      <c r="M94" s="59"/>
      <c r="N94" s="59"/>
      <c r="O94" s="54" t="s">
        <v>649</v>
      </c>
      <c r="P94" s="60"/>
      <c r="Q94" s="60"/>
      <c r="R94" s="54"/>
      <c r="S94" s="54"/>
      <c r="T94" s="54"/>
      <c r="U94" s="61">
        <v>0.94199999999999995</v>
      </c>
      <c r="V94" s="61"/>
      <c r="W94" s="61"/>
      <c r="X94" s="66">
        <f t="shared" si="3"/>
        <v>0.94199999999999995</v>
      </c>
      <c r="Y94" s="71">
        <v>65</v>
      </c>
      <c r="Z94" s="192" t="str">
        <f t="shared" si="5"/>
        <v>F</v>
      </c>
      <c r="AA94" s="66"/>
      <c r="AB94" s="66"/>
      <c r="AC94" s="66"/>
      <c r="AD94" s="172"/>
      <c r="AE94" s="172"/>
      <c r="AF94" s="172"/>
      <c r="AG94" s="172"/>
      <c r="AH94" s="172"/>
      <c r="AI94" s="172"/>
      <c r="AJ94" s="172"/>
      <c r="AK94" s="172"/>
      <c r="AL94" s="172"/>
    </row>
    <row r="95" spans="1:38" s="45" customFormat="1">
      <c r="A95" s="53">
        <v>181</v>
      </c>
      <c r="B95" s="54" t="s">
        <v>766</v>
      </c>
      <c r="C95" s="54">
        <v>2009</v>
      </c>
      <c r="D95" s="90" t="s">
        <v>767</v>
      </c>
      <c r="E95" s="84" t="s">
        <v>49</v>
      </c>
      <c r="F95" s="85" t="s">
        <v>808</v>
      </c>
      <c r="G95" s="54" t="s">
        <v>770</v>
      </c>
      <c r="H95" s="74" t="s">
        <v>771</v>
      </c>
      <c r="I95" s="74"/>
      <c r="J95" s="74" t="s">
        <v>1015</v>
      </c>
      <c r="K95" s="74" t="s">
        <v>1021</v>
      </c>
      <c r="L95" s="85" t="s">
        <v>496</v>
      </c>
      <c r="M95" s="85" t="s">
        <v>809</v>
      </c>
      <c r="N95" s="85"/>
      <c r="O95" s="85" t="s">
        <v>810</v>
      </c>
      <c r="P95" s="85"/>
      <c r="Q95" s="85"/>
      <c r="R95" s="54"/>
      <c r="S95" s="54"/>
      <c r="T95" s="54"/>
      <c r="U95" s="85">
        <v>0.94099999999999995</v>
      </c>
      <c r="V95" s="166"/>
      <c r="W95" s="166"/>
      <c r="X95" s="66">
        <f t="shared" si="3"/>
        <v>0.94099999999999995</v>
      </c>
      <c r="Y95" s="87">
        <v>66.928406940000002</v>
      </c>
      <c r="Z95" s="192" t="str">
        <f t="shared" si="5"/>
        <v>F</v>
      </c>
      <c r="AA95" s="66"/>
      <c r="AB95" s="66"/>
      <c r="AC95" s="66"/>
      <c r="AD95" s="172"/>
      <c r="AE95" s="172"/>
      <c r="AF95" s="172"/>
      <c r="AG95" s="172"/>
      <c r="AH95" s="172"/>
      <c r="AI95" s="172"/>
      <c r="AJ95" s="172"/>
      <c r="AK95" s="172"/>
      <c r="AL95" s="172"/>
    </row>
    <row r="96" spans="1:38" s="45" customFormat="1">
      <c r="A96" s="53">
        <v>181</v>
      </c>
      <c r="B96" s="54" t="s">
        <v>766</v>
      </c>
      <c r="C96" s="54">
        <v>2009</v>
      </c>
      <c r="D96" s="90" t="s">
        <v>767</v>
      </c>
      <c r="E96" s="84" t="s">
        <v>49</v>
      </c>
      <c r="F96" s="85" t="s">
        <v>799</v>
      </c>
      <c r="G96" s="54" t="s">
        <v>847</v>
      </c>
      <c r="H96" s="74" t="s">
        <v>43</v>
      </c>
      <c r="I96" s="74"/>
      <c r="J96" s="74" t="s">
        <v>1015</v>
      </c>
      <c r="K96" s="74" t="s">
        <v>1021</v>
      </c>
      <c r="L96" s="85" t="s">
        <v>496</v>
      </c>
      <c r="M96" s="85" t="s">
        <v>809</v>
      </c>
      <c r="N96" s="85" t="s">
        <v>848</v>
      </c>
      <c r="O96" s="85" t="s">
        <v>849</v>
      </c>
      <c r="P96" s="85"/>
      <c r="Q96" s="85"/>
      <c r="R96" s="54"/>
      <c r="S96" s="54"/>
      <c r="T96" s="54"/>
      <c r="U96" s="85">
        <v>0.94</v>
      </c>
      <c r="V96" s="166"/>
      <c r="W96" s="166"/>
      <c r="X96" s="66">
        <f t="shared" si="3"/>
        <v>0.94</v>
      </c>
      <c r="Y96" s="87">
        <v>68.518437329999998</v>
      </c>
      <c r="Z96" s="192" t="str">
        <f t="shared" si="5"/>
        <v>F</v>
      </c>
      <c r="AA96" s="66"/>
      <c r="AB96" s="66"/>
      <c r="AC96" s="66"/>
      <c r="AD96" s="172"/>
      <c r="AE96" s="172"/>
      <c r="AF96" s="172"/>
      <c r="AG96" s="172"/>
      <c r="AH96" s="172"/>
      <c r="AI96" s="172"/>
      <c r="AJ96" s="172"/>
      <c r="AK96" s="172"/>
      <c r="AL96" s="172"/>
    </row>
    <row r="97" spans="1:38" s="45" customFormat="1">
      <c r="A97" s="95"/>
      <c r="B97" s="73" t="s">
        <v>992</v>
      </c>
      <c r="C97" s="60">
        <v>2013</v>
      </c>
      <c r="D97" s="95"/>
      <c r="E97" s="73" t="s">
        <v>172</v>
      </c>
      <c r="F97" s="95"/>
      <c r="G97" s="95"/>
      <c r="H97" s="95" t="s">
        <v>771</v>
      </c>
      <c r="I97" s="95"/>
      <c r="J97" s="95" t="s">
        <v>1015</v>
      </c>
      <c r="K97" s="66" t="s">
        <v>1018</v>
      </c>
      <c r="L97" s="60" t="s">
        <v>997</v>
      </c>
      <c r="M97" s="60"/>
      <c r="N97" s="60"/>
      <c r="O97" s="95"/>
      <c r="P97" s="95"/>
      <c r="Q97" s="95"/>
      <c r="R97" s="95"/>
      <c r="S97" s="95"/>
      <c r="T97" s="95"/>
      <c r="U97" s="95">
        <v>0.93799999999999994</v>
      </c>
      <c r="V97" s="95"/>
      <c r="W97" s="95"/>
      <c r="X97" s="66">
        <f t="shared" si="3"/>
        <v>0.93799999999999994</v>
      </c>
      <c r="Y97" s="71">
        <v>72</v>
      </c>
      <c r="Z97" s="192" t="str">
        <f t="shared" si="5"/>
        <v>F</v>
      </c>
      <c r="AA97" s="66"/>
      <c r="AB97" s="66"/>
      <c r="AC97" s="66"/>
      <c r="AD97" s="172"/>
      <c r="AE97" s="172"/>
      <c r="AF97" s="172"/>
      <c r="AG97" s="172"/>
      <c r="AH97" s="172"/>
      <c r="AI97" s="172"/>
      <c r="AJ97" s="172"/>
      <c r="AK97" s="172"/>
      <c r="AL97" s="172"/>
    </row>
    <row r="98" spans="1:38" s="45" customFormat="1">
      <c r="A98" s="53">
        <v>181</v>
      </c>
      <c r="B98" s="54" t="s">
        <v>766</v>
      </c>
      <c r="C98" s="54">
        <v>2009</v>
      </c>
      <c r="D98" s="90" t="s">
        <v>767</v>
      </c>
      <c r="E98" s="84" t="s">
        <v>49</v>
      </c>
      <c r="F98" s="85" t="s">
        <v>808</v>
      </c>
      <c r="G98" s="54" t="s">
        <v>794</v>
      </c>
      <c r="H98" s="74" t="s">
        <v>41</v>
      </c>
      <c r="I98" s="74"/>
      <c r="J98" s="74" t="s">
        <v>1015</v>
      </c>
      <c r="K98" s="74" t="s">
        <v>1015</v>
      </c>
      <c r="L98" s="85" t="s">
        <v>496</v>
      </c>
      <c r="M98" s="85" t="s">
        <v>497</v>
      </c>
      <c r="N98" s="85" t="s">
        <v>742</v>
      </c>
      <c r="O98" s="85" t="s">
        <v>846</v>
      </c>
      <c r="P98" s="85"/>
      <c r="Q98" s="85"/>
      <c r="R98" s="54"/>
      <c r="S98" s="54"/>
      <c r="T98" s="54"/>
      <c r="U98" s="85">
        <v>0.93600000000000005</v>
      </c>
      <c r="V98" s="166"/>
      <c r="W98" s="166"/>
      <c r="X98" s="66">
        <f t="shared" si="3"/>
        <v>0.93600000000000005</v>
      </c>
      <c r="Y98" s="87">
        <v>73.070141919999998</v>
      </c>
      <c r="Z98" s="192" t="str">
        <f t="shared" si="5"/>
        <v>F</v>
      </c>
      <c r="AA98" s="66"/>
      <c r="AB98" s="66"/>
      <c r="AC98" s="66"/>
      <c r="AD98" s="172"/>
      <c r="AE98" s="172"/>
      <c r="AF98" s="172"/>
      <c r="AG98" s="172"/>
      <c r="AH98" s="172"/>
      <c r="AI98" s="172"/>
      <c r="AJ98" s="172"/>
      <c r="AK98" s="172"/>
      <c r="AL98" s="172"/>
    </row>
    <row r="99" spans="1:38" s="45" customFormat="1">
      <c r="A99" s="53">
        <v>181</v>
      </c>
      <c r="B99" s="54" t="s">
        <v>766</v>
      </c>
      <c r="C99" s="54">
        <v>2009</v>
      </c>
      <c r="D99" s="90" t="s">
        <v>767</v>
      </c>
      <c r="E99" s="84" t="s">
        <v>49</v>
      </c>
      <c r="F99" s="85" t="s">
        <v>808</v>
      </c>
      <c r="G99" s="54" t="s">
        <v>770</v>
      </c>
      <c r="H99" s="74" t="s">
        <v>771</v>
      </c>
      <c r="I99" s="74"/>
      <c r="J99" s="74" t="s">
        <v>1015</v>
      </c>
      <c r="K99" s="74" t="s">
        <v>1019</v>
      </c>
      <c r="L99" s="85" t="s">
        <v>496</v>
      </c>
      <c r="M99" s="85" t="s">
        <v>533</v>
      </c>
      <c r="N99" s="85"/>
      <c r="O99" s="85" t="s">
        <v>831</v>
      </c>
      <c r="P99" s="85"/>
      <c r="Q99" s="85"/>
      <c r="R99" s="54"/>
      <c r="S99" s="54"/>
      <c r="T99" s="54"/>
      <c r="U99" s="85">
        <v>0.93600000000000005</v>
      </c>
      <c r="V99" s="166"/>
      <c r="W99" s="166"/>
      <c r="X99" s="66">
        <f t="shared" si="3"/>
        <v>0.93600000000000005</v>
      </c>
      <c r="Y99" s="87">
        <v>73.340364089999994</v>
      </c>
      <c r="Z99" s="192" t="str">
        <f t="shared" si="5"/>
        <v>F</v>
      </c>
      <c r="AA99" s="66"/>
      <c r="AB99" s="66"/>
      <c r="AC99" s="66"/>
      <c r="AD99" s="172"/>
      <c r="AE99" s="172"/>
      <c r="AF99" s="172"/>
      <c r="AG99" s="172"/>
      <c r="AH99" s="172"/>
      <c r="AI99" s="172"/>
      <c r="AJ99" s="172"/>
      <c r="AK99" s="172"/>
      <c r="AL99" s="172"/>
    </row>
    <row r="100" spans="1:38" s="45" customFormat="1">
      <c r="A100" s="95"/>
      <c r="B100" s="73" t="s">
        <v>992</v>
      </c>
      <c r="C100" s="60">
        <v>2013</v>
      </c>
      <c r="D100" s="95"/>
      <c r="E100" s="73" t="s">
        <v>172</v>
      </c>
      <c r="F100" s="95"/>
      <c r="G100" s="95"/>
      <c r="H100" s="95" t="s">
        <v>771</v>
      </c>
      <c r="I100" s="95"/>
      <c r="J100" s="95" t="s">
        <v>1015</v>
      </c>
      <c r="K100" s="66" t="s">
        <v>1021</v>
      </c>
      <c r="L100" s="60" t="s">
        <v>995</v>
      </c>
      <c r="M100" s="60"/>
      <c r="N100" s="60"/>
      <c r="O100" s="60"/>
      <c r="P100" s="95"/>
      <c r="Q100" s="95"/>
      <c r="R100" s="95"/>
      <c r="S100" s="95"/>
      <c r="T100" s="95"/>
      <c r="U100" s="95">
        <v>0.93500000000000005</v>
      </c>
      <c r="V100" s="95"/>
      <c r="W100" s="95"/>
      <c r="X100" s="66">
        <f t="shared" si="3"/>
        <v>0.93500000000000005</v>
      </c>
      <c r="Y100" s="71">
        <v>74</v>
      </c>
      <c r="Z100" s="192" t="str">
        <f t="shared" si="5"/>
        <v>F</v>
      </c>
      <c r="AA100" s="66"/>
      <c r="AB100" s="66"/>
      <c r="AC100" s="66"/>
      <c r="AD100" s="172"/>
      <c r="AE100" s="172"/>
      <c r="AF100" s="172"/>
      <c r="AG100" s="172"/>
      <c r="AH100" s="172"/>
      <c r="AI100" s="172"/>
      <c r="AJ100" s="172"/>
      <c r="AK100" s="172"/>
      <c r="AL100" s="172"/>
    </row>
    <row r="101" spans="1:38" s="45" customFormat="1">
      <c r="A101" s="53">
        <v>181</v>
      </c>
      <c r="B101" s="54" t="s">
        <v>766</v>
      </c>
      <c r="C101" s="54">
        <v>2009</v>
      </c>
      <c r="D101" s="90" t="s">
        <v>767</v>
      </c>
      <c r="E101" s="84" t="s">
        <v>49</v>
      </c>
      <c r="F101" s="85" t="s">
        <v>799</v>
      </c>
      <c r="G101" s="54" t="s">
        <v>847</v>
      </c>
      <c r="H101" s="74" t="s">
        <v>43</v>
      </c>
      <c r="I101" s="74"/>
      <c r="J101" s="74" t="s">
        <v>1015</v>
      </c>
      <c r="K101" s="74" t="s">
        <v>1021</v>
      </c>
      <c r="L101" s="85" t="s">
        <v>496</v>
      </c>
      <c r="M101" s="85" t="s">
        <v>809</v>
      </c>
      <c r="N101" s="85" t="s">
        <v>848</v>
      </c>
      <c r="O101" s="85" t="s">
        <v>850</v>
      </c>
      <c r="P101" s="85"/>
      <c r="Q101" s="85"/>
      <c r="R101" s="54"/>
      <c r="S101" s="54"/>
      <c r="T101" s="54"/>
      <c r="U101" s="85">
        <v>0.93400000000000005</v>
      </c>
      <c r="V101" s="166"/>
      <c r="W101" s="166"/>
      <c r="X101" s="66">
        <f t="shared" si="3"/>
        <v>0.93400000000000005</v>
      </c>
      <c r="Y101" s="87">
        <v>75.173256839999993</v>
      </c>
      <c r="Z101" s="192" t="str">
        <f t="shared" si="5"/>
        <v>F</v>
      </c>
      <c r="AA101" s="66"/>
      <c r="AB101" s="66"/>
      <c r="AC101" s="66"/>
      <c r="AD101" s="172"/>
      <c r="AE101" s="172"/>
      <c r="AF101" s="172"/>
      <c r="AG101" s="172"/>
      <c r="AH101" s="172"/>
      <c r="AI101" s="172"/>
      <c r="AJ101" s="172"/>
      <c r="AK101" s="172"/>
      <c r="AL101" s="172"/>
    </row>
    <row r="102" spans="1:38" s="45" customFormat="1">
      <c r="A102" s="95"/>
      <c r="B102" s="73" t="s">
        <v>992</v>
      </c>
      <c r="C102" s="60">
        <v>2013</v>
      </c>
      <c r="D102" s="95"/>
      <c r="E102" s="73" t="s">
        <v>172</v>
      </c>
      <c r="F102" s="95"/>
      <c r="G102" s="95"/>
      <c r="H102" s="95" t="s">
        <v>771</v>
      </c>
      <c r="I102" s="95"/>
      <c r="J102" s="95" t="s">
        <v>1015</v>
      </c>
      <c r="K102" s="95" t="s">
        <v>1021</v>
      </c>
      <c r="L102" s="60" t="s">
        <v>998</v>
      </c>
      <c r="M102" s="60"/>
      <c r="N102" s="95"/>
      <c r="O102" s="95"/>
      <c r="P102" s="95"/>
      <c r="Q102" s="95"/>
      <c r="R102" s="95"/>
      <c r="S102" s="95"/>
      <c r="T102" s="95"/>
      <c r="U102" s="95">
        <v>0.93300000000000005</v>
      </c>
      <c r="V102" s="95"/>
      <c r="W102" s="95"/>
      <c r="X102" s="66">
        <f t="shared" si="3"/>
        <v>0.93300000000000005</v>
      </c>
      <c r="Y102" s="71">
        <v>78</v>
      </c>
      <c r="Z102" s="192" t="str">
        <f t="shared" si="5"/>
        <v>F</v>
      </c>
      <c r="AA102" s="66"/>
      <c r="AB102" s="66"/>
      <c r="AC102" s="66"/>
      <c r="AD102" s="172"/>
      <c r="AE102" s="172"/>
      <c r="AF102" s="172"/>
      <c r="AG102" s="172"/>
      <c r="AH102" s="172"/>
      <c r="AI102" s="172"/>
      <c r="AJ102" s="172"/>
      <c r="AK102" s="172"/>
      <c r="AL102" s="172"/>
    </row>
    <row r="103" spans="1:38" s="45" customFormat="1">
      <c r="A103" s="53">
        <v>181</v>
      </c>
      <c r="B103" s="54" t="s">
        <v>766</v>
      </c>
      <c r="C103" s="54">
        <v>2009</v>
      </c>
      <c r="D103" s="90" t="s">
        <v>767</v>
      </c>
      <c r="E103" s="84" t="s">
        <v>49</v>
      </c>
      <c r="F103" s="85" t="s">
        <v>769</v>
      </c>
      <c r="G103" s="54" t="s">
        <v>770</v>
      </c>
      <c r="H103" s="74" t="s">
        <v>771</v>
      </c>
      <c r="I103" s="74"/>
      <c r="J103" s="74" t="s">
        <v>1015</v>
      </c>
      <c r="K103" s="74" t="s">
        <v>1019</v>
      </c>
      <c r="L103" s="85" t="s">
        <v>496</v>
      </c>
      <c r="M103" s="85" t="s">
        <v>533</v>
      </c>
      <c r="N103" s="85"/>
      <c r="O103" s="85" t="s">
        <v>772</v>
      </c>
      <c r="P103" s="85"/>
      <c r="Q103" s="85"/>
      <c r="R103" s="54"/>
      <c r="S103" s="54"/>
      <c r="T103" s="54"/>
      <c r="U103" s="85">
        <v>0.93200000000000005</v>
      </c>
      <c r="V103" s="166"/>
      <c r="W103" s="166"/>
      <c r="X103" s="66">
        <f t="shared" si="3"/>
        <v>0.93200000000000005</v>
      </c>
      <c r="Y103" s="87">
        <v>77.209529140000001</v>
      </c>
      <c r="Z103" s="192" t="str">
        <f t="shared" si="5"/>
        <v>F</v>
      </c>
      <c r="AA103" s="66"/>
      <c r="AB103" s="66"/>
      <c r="AC103" s="66"/>
      <c r="AD103" s="172"/>
      <c r="AE103" s="172"/>
      <c r="AF103" s="172"/>
      <c r="AG103" s="172"/>
      <c r="AH103" s="172"/>
      <c r="AI103" s="172"/>
      <c r="AJ103" s="172"/>
      <c r="AK103" s="172"/>
      <c r="AL103" s="172"/>
    </row>
    <row r="104" spans="1:38" s="45" customFormat="1">
      <c r="A104" s="95"/>
      <c r="B104" s="73" t="s">
        <v>992</v>
      </c>
      <c r="C104" s="60">
        <v>2013</v>
      </c>
      <c r="D104" s="95"/>
      <c r="E104" s="73" t="s">
        <v>172</v>
      </c>
      <c r="F104" s="95"/>
      <c r="G104" s="95"/>
      <c r="H104" s="95" t="s">
        <v>771</v>
      </c>
      <c r="I104" s="95"/>
      <c r="J104" s="95" t="s">
        <v>1015</v>
      </c>
      <c r="K104" s="66" t="s">
        <v>1021</v>
      </c>
      <c r="L104" s="60" t="s">
        <v>993</v>
      </c>
      <c r="M104" s="60"/>
      <c r="N104" s="60"/>
      <c r="O104" s="95"/>
      <c r="P104" s="95"/>
      <c r="Q104" s="95"/>
      <c r="R104" s="95"/>
      <c r="S104" s="95"/>
      <c r="T104" s="95"/>
      <c r="U104" s="95">
        <v>0.93200000000000005</v>
      </c>
      <c r="V104" s="95"/>
      <c r="W104" s="95"/>
      <c r="X104" s="66">
        <f t="shared" si="3"/>
        <v>0.93200000000000005</v>
      </c>
      <c r="Y104" s="71">
        <v>78</v>
      </c>
      <c r="Z104" s="192" t="str">
        <f t="shared" si="5"/>
        <v>F</v>
      </c>
      <c r="AA104" s="66"/>
      <c r="AB104" s="66"/>
      <c r="AC104" s="66"/>
      <c r="AD104" s="172"/>
      <c r="AE104" s="172"/>
      <c r="AF104" s="172"/>
      <c r="AG104" s="172"/>
      <c r="AH104" s="172"/>
      <c r="AI104" s="172"/>
      <c r="AJ104" s="172"/>
      <c r="AK104" s="172"/>
      <c r="AL104" s="172"/>
    </row>
    <row r="105" spans="1:38" s="45" customFormat="1">
      <c r="A105" s="53">
        <v>173</v>
      </c>
      <c r="B105" s="54" t="s">
        <v>585</v>
      </c>
      <c r="C105" s="54">
        <v>2011</v>
      </c>
      <c r="D105" s="78" t="s">
        <v>636</v>
      </c>
      <c r="E105" s="56" t="s">
        <v>681</v>
      </c>
      <c r="F105" s="57" t="s">
        <v>690</v>
      </c>
      <c r="G105" s="54" t="s">
        <v>643</v>
      </c>
      <c r="H105" s="54" t="s">
        <v>41</v>
      </c>
      <c r="I105" s="54"/>
      <c r="J105" s="54" t="s">
        <v>1015</v>
      </c>
      <c r="K105" s="54" t="s">
        <v>1067</v>
      </c>
      <c r="L105" s="54" t="s">
        <v>39</v>
      </c>
      <c r="M105" s="59"/>
      <c r="N105" s="59"/>
      <c r="O105" s="54" t="s">
        <v>691</v>
      </c>
      <c r="P105" s="60"/>
      <c r="Q105" s="60"/>
      <c r="R105" s="54"/>
      <c r="S105" s="54"/>
      <c r="T105" s="54"/>
      <c r="U105" s="61">
        <v>0.93100000000000005</v>
      </c>
      <c r="V105" s="61"/>
      <c r="W105" s="61"/>
      <c r="X105" s="66">
        <f t="shared" si="3"/>
        <v>0.93100000000000005</v>
      </c>
      <c r="Y105" s="71">
        <v>80</v>
      </c>
      <c r="Z105" s="192" t="str">
        <f t="shared" si="5"/>
        <v>F</v>
      </c>
      <c r="AA105" s="66"/>
      <c r="AB105" s="66"/>
      <c r="AC105" s="66"/>
      <c r="AD105" s="172"/>
      <c r="AE105" s="172"/>
      <c r="AF105" s="172"/>
      <c r="AG105" s="172"/>
      <c r="AH105" s="172"/>
      <c r="AI105" s="172"/>
      <c r="AJ105" s="172"/>
      <c r="AK105" s="172"/>
      <c r="AL105" s="172"/>
    </row>
    <row r="106" spans="1:38" s="45" customFormat="1">
      <c r="A106" s="53">
        <v>174</v>
      </c>
      <c r="B106" s="54" t="s">
        <v>697</v>
      </c>
      <c r="C106" s="54">
        <v>2009</v>
      </c>
      <c r="D106" s="78" t="s">
        <v>698</v>
      </c>
      <c r="E106" s="56" t="s">
        <v>20</v>
      </c>
      <c r="F106" s="57" t="s">
        <v>701</v>
      </c>
      <c r="G106" s="54"/>
      <c r="H106" s="54"/>
      <c r="I106" s="54"/>
      <c r="J106" s="66" t="s">
        <v>1015</v>
      </c>
      <c r="K106" s="54" t="s">
        <v>1085</v>
      </c>
      <c r="L106" s="54" t="s">
        <v>719</v>
      </c>
      <c r="M106" s="59"/>
      <c r="N106" s="59"/>
      <c r="O106" s="54" t="s">
        <v>720</v>
      </c>
      <c r="P106" s="60"/>
      <c r="Q106" s="60"/>
      <c r="R106" s="54"/>
      <c r="S106" s="54"/>
      <c r="T106" s="54"/>
      <c r="U106" s="61">
        <v>0.93</v>
      </c>
      <c r="V106" s="61"/>
      <c r="W106" s="61"/>
      <c r="X106" s="66">
        <f t="shared" si="3"/>
        <v>0.93</v>
      </c>
      <c r="Y106" s="71">
        <v>78</v>
      </c>
      <c r="Z106" s="192" t="str">
        <f t="shared" si="5"/>
        <v>F</v>
      </c>
      <c r="AA106" s="66"/>
      <c r="AB106" s="66"/>
      <c r="AC106" s="66"/>
      <c r="AD106" s="172"/>
      <c r="AE106" s="172"/>
      <c r="AF106" s="172"/>
      <c r="AG106" s="172"/>
      <c r="AH106" s="172"/>
      <c r="AI106" s="172"/>
      <c r="AJ106" s="172"/>
      <c r="AK106" s="172"/>
      <c r="AL106" s="172"/>
    </row>
    <row r="107" spans="1:38" s="45" customFormat="1">
      <c r="A107" s="53">
        <v>181</v>
      </c>
      <c r="B107" s="54" t="s">
        <v>766</v>
      </c>
      <c r="C107" s="54">
        <v>2009</v>
      </c>
      <c r="D107" s="90" t="s">
        <v>767</v>
      </c>
      <c r="E107" s="90" t="s">
        <v>49</v>
      </c>
      <c r="F107" s="79" t="s">
        <v>793</v>
      </c>
      <c r="G107" s="54" t="s">
        <v>804</v>
      </c>
      <c r="H107" s="78" t="s">
        <v>38</v>
      </c>
      <c r="I107" s="78"/>
      <c r="J107" s="78" t="s">
        <v>1015</v>
      </c>
      <c r="K107" s="78" t="s">
        <v>1019</v>
      </c>
      <c r="L107" s="79" t="s">
        <v>496</v>
      </c>
      <c r="M107" s="79" t="s">
        <v>533</v>
      </c>
      <c r="N107" s="79"/>
      <c r="O107" s="79" t="s">
        <v>805</v>
      </c>
      <c r="P107" s="79"/>
      <c r="Q107" s="79"/>
      <c r="R107" s="54"/>
      <c r="S107" s="54"/>
      <c r="T107" s="54"/>
      <c r="U107" s="79">
        <v>0.92800000000000005</v>
      </c>
      <c r="V107" s="165"/>
      <c r="W107" s="165"/>
      <c r="X107" s="66">
        <f t="shared" si="3"/>
        <v>0.92800000000000005</v>
      </c>
      <c r="Y107" s="82">
        <v>81.50851265</v>
      </c>
      <c r="Z107" s="192" t="str">
        <f t="shared" si="5"/>
        <v>F</v>
      </c>
      <c r="AA107" s="66"/>
      <c r="AB107" s="66"/>
      <c r="AC107" s="66"/>
      <c r="AD107" s="172"/>
      <c r="AE107" s="172"/>
      <c r="AF107" s="172"/>
      <c r="AG107" s="172"/>
      <c r="AH107" s="172"/>
      <c r="AI107" s="172"/>
      <c r="AJ107" s="172"/>
      <c r="AK107" s="172"/>
      <c r="AL107" s="172"/>
    </row>
    <row r="108" spans="1:38" s="45" customFormat="1">
      <c r="A108" s="53">
        <v>134</v>
      </c>
      <c r="B108" s="54" t="s">
        <v>322</v>
      </c>
      <c r="C108" s="173">
        <v>1999</v>
      </c>
      <c r="D108" s="78" t="s">
        <v>493</v>
      </c>
      <c r="E108" s="56" t="s">
        <v>410</v>
      </c>
      <c r="F108" s="69">
        <v>35546</v>
      </c>
      <c r="G108" s="54" t="s">
        <v>495</v>
      </c>
      <c r="H108" s="54" t="s">
        <v>41</v>
      </c>
      <c r="I108" s="54"/>
      <c r="J108" s="54" t="s">
        <v>1015</v>
      </c>
      <c r="K108" s="54" t="s">
        <v>1015</v>
      </c>
      <c r="L108" s="85" t="s">
        <v>496</v>
      </c>
      <c r="M108" s="54" t="s">
        <v>497</v>
      </c>
      <c r="N108" s="54" t="s">
        <v>499</v>
      </c>
      <c r="O108" s="54"/>
      <c r="P108" s="54"/>
      <c r="Q108" s="54"/>
      <c r="R108" s="54"/>
      <c r="S108" s="54"/>
      <c r="T108" s="54"/>
      <c r="U108" s="54">
        <v>0.92700000000000005</v>
      </c>
      <c r="V108" s="54"/>
      <c r="W108" s="54"/>
      <c r="X108" s="66">
        <f t="shared" si="3"/>
        <v>0.92700000000000005</v>
      </c>
      <c r="Y108" s="71">
        <v>84</v>
      </c>
      <c r="Z108" s="192" t="str">
        <f t="shared" si="5"/>
        <v>F</v>
      </c>
      <c r="AA108" s="66"/>
      <c r="AB108" s="66"/>
      <c r="AC108" s="66"/>
      <c r="AD108" s="172"/>
      <c r="AE108" s="172"/>
      <c r="AF108" s="172"/>
      <c r="AG108" s="172"/>
      <c r="AH108" s="172"/>
      <c r="AI108" s="172"/>
      <c r="AJ108" s="172"/>
      <c r="AK108" s="172"/>
      <c r="AL108" s="172"/>
    </row>
    <row r="109" spans="1:38" s="45" customFormat="1">
      <c r="A109" s="53">
        <v>134</v>
      </c>
      <c r="B109" s="54" t="s">
        <v>322</v>
      </c>
      <c r="C109" s="173">
        <v>1999</v>
      </c>
      <c r="D109" s="78" t="s">
        <v>493</v>
      </c>
      <c r="E109" s="56" t="s">
        <v>410</v>
      </c>
      <c r="F109" s="69">
        <v>35534</v>
      </c>
      <c r="G109" s="54" t="s">
        <v>495</v>
      </c>
      <c r="H109" s="54" t="s">
        <v>41</v>
      </c>
      <c r="I109" s="54"/>
      <c r="J109" s="54" t="s">
        <v>1015</v>
      </c>
      <c r="K109" s="54" t="s">
        <v>1015</v>
      </c>
      <c r="L109" s="85" t="s">
        <v>496</v>
      </c>
      <c r="M109" s="54" t="s">
        <v>497</v>
      </c>
      <c r="N109" s="54" t="s">
        <v>498</v>
      </c>
      <c r="O109" s="54"/>
      <c r="P109" s="54"/>
      <c r="Q109" s="54"/>
      <c r="R109" s="54"/>
      <c r="S109" s="54"/>
      <c r="T109" s="54"/>
      <c r="U109" s="54">
        <v>0.92500000000000004</v>
      </c>
      <c r="V109" s="54"/>
      <c r="W109" s="54"/>
      <c r="X109" s="66">
        <f t="shared" si="3"/>
        <v>0.92500000000000004</v>
      </c>
      <c r="Y109" s="71">
        <v>87.8</v>
      </c>
      <c r="Z109" s="192" t="str">
        <f t="shared" si="5"/>
        <v>F</v>
      </c>
      <c r="AA109" s="66"/>
      <c r="AB109" s="66"/>
      <c r="AC109" s="66"/>
      <c r="AD109" s="172"/>
      <c r="AE109" s="172"/>
      <c r="AF109" s="172"/>
      <c r="AG109" s="172"/>
      <c r="AH109" s="172"/>
      <c r="AI109" s="172"/>
      <c r="AJ109" s="172"/>
      <c r="AK109" s="172"/>
      <c r="AL109" s="172"/>
    </row>
    <row r="110" spans="1:38" s="45" customFormat="1">
      <c r="A110" s="95"/>
      <c r="B110" s="73" t="s">
        <v>992</v>
      </c>
      <c r="C110" s="60">
        <v>2013</v>
      </c>
      <c r="D110" s="95"/>
      <c r="E110" s="73" t="s">
        <v>172</v>
      </c>
      <c r="F110" s="95"/>
      <c r="G110" s="95"/>
      <c r="H110" s="95" t="s">
        <v>771</v>
      </c>
      <c r="I110" s="95"/>
      <c r="J110" s="95" t="s">
        <v>1015</v>
      </c>
      <c r="K110" s="66" t="s">
        <v>1021</v>
      </c>
      <c r="L110" s="60" t="s">
        <v>994</v>
      </c>
      <c r="M110" s="60"/>
      <c r="N110" s="60"/>
      <c r="O110" s="60"/>
      <c r="P110" s="95"/>
      <c r="Q110" s="95"/>
      <c r="R110" s="95"/>
      <c r="S110" s="95"/>
      <c r="T110" s="95"/>
      <c r="U110" s="95">
        <v>0.91900000000000004</v>
      </c>
      <c r="V110" s="95"/>
      <c r="W110" s="95"/>
      <c r="X110" s="66">
        <f t="shared" si="3"/>
        <v>0.91900000000000004</v>
      </c>
      <c r="Y110" s="71">
        <v>92</v>
      </c>
      <c r="Z110" s="192" t="str">
        <f t="shared" si="5"/>
        <v>F</v>
      </c>
      <c r="AA110" s="66"/>
      <c r="AB110" s="66"/>
      <c r="AC110" s="66"/>
      <c r="AD110" s="172"/>
      <c r="AE110" s="172"/>
      <c r="AF110" s="172"/>
      <c r="AG110" s="172"/>
      <c r="AH110" s="172"/>
      <c r="AI110" s="172"/>
      <c r="AJ110" s="172"/>
      <c r="AK110" s="172"/>
      <c r="AL110" s="172"/>
    </row>
    <row r="111" spans="1:38" s="45" customFormat="1">
      <c r="A111" s="53">
        <v>181</v>
      </c>
      <c r="B111" s="54" t="s">
        <v>766</v>
      </c>
      <c r="C111" s="54">
        <v>2009</v>
      </c>
      <c r="D111" s="90" t="s">
        <v>767</v>
      </c>
      <c r="E111" s="84" t="s">
        <v>49</v>
      </c>
      <c r="F111" s="85" t="s">
        <v>793</v>
      </c>
      <c r="G111" s="54" t="s">
        <v>770</v>
      </c>
      <c r="H111" s="74" t="s">
        <v>771</v>
      </c>
      <c r="I111" s="74"/>
      <c r="J111" s="74" t="s">
        <v>1015</v>
      </c>
      <c r="K111" s="74" t="s">
        <v>1021</v>
      </c>
      <c r="L111" s="85" t="s">
        <v>496</v>
      </c>
      <c r="M111" s="85" t="s">
        <v>809</v>
      </c>
      <c r="N111" s="85"/>
      <c r="O111" s="85" t="s">
        <v>845</v>
      </c>
      <c r="P111" s="85"/>
      <c r="Q111" s="85"/>
      <c r="R111" s="54"/>
      <c r="S111" s="54"/>
      <c r="T111" s="54"/>
      <c r="U111" s="85">
        <v>0.91800000000000004</v>
      </c>
      <c r="V111" s="166"/>
      <c r="W111" s="166"/>
      <c r="X111" s="66">
        <f t="shared" si="3"/>
        <v>0.91800000000000004</v>
      </c>
      <c r="Y111" s="87">
        <v>93.978280280000007</v>
      </c>
      <c r="Z111" s="192" t="str">
        <f t="shared" si="5"/>
        <v>F</v>
      </c>
      <c r="AA111" s="66"/>
      <c r="AB111" s="66"/>
      <c r="AC111" s="66"/>
      <c r="AD111" s="172"/>
      <c r="AE111" s="172"/>
      <c r="AF111" s="172"/>
      <c r="AG111" s="172"/>
      <c r="AH111" s="172"/>
      <c r="AI111" s="172"/>
      <c r="AJ111" s="172"/>
      <c r="AK111" s="172"/>
      <c r="AL111" s="172"/>
    </row>
    <row r="112" spans="1:38" s="45" customFormat="1">
      <c r="A112" s="53">
        <v>181</v>
      </c>
      <c r="B112" s="54" t="s">
        <v>766</v>
      </c>
      <c r="C112" s="54">
        <v>2009</v>
      </c>
      <c r="D112" s="90" t="s">
        <v>767</v>
      </c>
      <c r="E112" s="84" t="s">
        <v>49</v>
      </c>
      <c r="F112" s="85" t="s">
        <v>769</v>
      </c>
      <c r="G112" s="54" t="s">
        <v>796</v>
      </c>
      <c r="H112" s="74" t="s">
        <v>771</v>
      </c>
      <c r="I112" s="74"/>
      <c r="J112" s="74" t="s">
        <v>1015</v>
      </c>
      <c r="K112" s="74" t="s">
        <v>1015</v>
      </c>
      <c r="L112" s="85" t="s">
        <v>496</v>
      </c>
      <c r="M112" s="85" t="s">
        <v>797</v>
      </c>
      <c r="N112" s="85" t="s">
        <v>165</v>
      </c>
      <c r="O112" s="85" t="s">
        <v>798</v>
      </c>
      <c r="P112" s="85"/>
      <c r="Q112" s="85"/>
      <c r="R112" s="54"/>
      <c r="S112" s="54"/>
      <c r="T112" s="54"/>
      <c r="U112" s="85">
        <v>0.91500000000000004</v>
      </c>
      <c r="V112" s="166"/>
      <c r="W112" s="166"/>
      <c r="X112" s="66">
        <f t="shared" si="3"/>
        <v>0.91500000000000004</v>
      </c>
      <c r="Y112" s="87">
        <v>96.396202000000002</v>
      </c>
      <c r="Z112" s="192" t="str">
        <f t="shared" si="5"/>
        <v>F</v>
      </c>
      <c r="AA112" s="66"/>
      <c r="AB112" s="66"/>
      <c r="AC112" s="66"/>
      <c r="AD112" s="172"/>
      <c r="AE112" s="172"/>
      <c r="AF112" s="172"/>
      <c r="AG112" s="172"/>
      <c r="AH112" s="172"/>
      <c r="AI112" s="172"/>
      <c r="AJ112" s="172"/>
      <c r="AK112" s="172"/>
      <c r="AL112" s="172"/>
    </row>
    <row r="113" spans="1:38" s="45" customFormat="1">
      <c r="A113" s="53">
        <v>173</v>
      </c>
      <c r="B113" s="54" t="s">
        <v>585</v>
      </c>
      <c r="C113" s="54">
        <v>2011</v>
      </c>
      <c r="D113" s="78" t="s">
        <v>636</v>
      </c>
      <c r="E113" s="56" t="s">
        <v>681</v>
      </c>
      <c r="F113" s="57" t="s">
        <v>690</v>
      </c>
      <c r="G113" s="54" t="s">
        <v>643</v>
      </c>
      <c r="H113" s="54" t="s">
        <v>41</v>
      </c>
      <c r="I113" s="54"/>
      <c r="J113" s="54" t="s">
        <v>1015</v>
      </c>
      <c r="K113" s="54" t="s">
        <v>1081</v>
      </c>
      <c r="L113" s="54" t="s">
        <v>693</v>
      </c>
      <c r="M113" s="59"/>
      <c r="N113" s="59"/>
      <c r="O113" s="54" t="s">
        <v>694</v>
      </c>
      <c r="P113" s="60"/>
      <c r="Q113" s="60"/>
      <c r="R113" s="54"/>
      <c r="S113" s="54"/>
      <c r="T113" s="54"/>
      <c r="U113" s="61">
        <v>0.91400000000000003</v>
      </c>
      <c r="V113" s="61"/>
      <c r="W113" s="61"/>
      <c r="X113" s="66">
        <f t="shared" si="3"/>
        <v>0.91400000000000003</v>
      </c>
      <c r="Y113" s="71">
        <v>100</v>
      </c>
      <c r="Z113" s="192" t="str">
        <f t="shared" si="5"/>
        <v>F</v>
      </c>
      <c r="AA113" s="66"/>
      <c r="AB113" s="66"/>
      <c r="AC113" s="66"/>
      <c r="AD113" s="172"/>
      <c r="AE113" s="172"/>
      <c r="AF113" s="172"/>
      <c r="AG113" s="172"/>
      <c r="AH113" s="172"/>
      <c r="AI113" s="172"/>
      <c r="AJ113" s="172"/>
      <c r="AK113" s="172"/>
      <c r="AL113" s="172"/>
    </row>
    <row r="114" spans="1:38" s="45" customFormat="1">
      <c r="A114" s="53">
        <v>181</v>
      </c>
      <c r="B114" s="54" t="s">
        <v>766</v>
      </c>
      <c r="C114" s="54">
        <v>2009</v>
      </c>
      <c r="D114" s="90" t="s">
        <v>767</v>
      </c>
      <c r="E114" s="84" t="s">
        <v>49</v>
      </c>
      <c r="F114" s="85" t="s">
        <v>808</v>
      </c>
      <c r="G114" s="54" t="s">
        <v>794</v>
      </c>
      <c r="H114" s="74" t="s">
        <v>41</v>
      </c>
      <c r="I114" s="74"/>
      <c r="J114" s="74" t="s">
        <v>1015</v>
      </c>
      <c r="K114" s="74" t="s">
        <v>1015</v>
      </c>
      <c r="L114" s="85" t="s">
        <v>496</v>
      </c>
      <c r="M114" s="85" t="s">
        <v>497</v>
      </c>
      <c r="N114" s="85" t="s">
        <v>851</v>
      </c>
      <c r="O114" s="85" t="s">
        <v>852</v>
      </c>
      <c r="P114" s="85"/>
      <c r="Q114" s="85"/>
      <c r="R114" s="54"/>
      <c r="S114" s="54"/>
      <c r="T114" s="54"/>
      <c r="U114" s="85">
        <v>0.90400000000000003</v>
      </c>
      <c r="V114" s="166"/>
      <c r="W114" s="166"/>
      <c r="X114" s="66">
        <f t="shared" si="3"/>
        <v>0.90400000000000003</v>
      </c>
      <c r="Y114" s="87">
        <v>109.39037620000001</v>
      </c>
      <c r="Z114" s="192" t="str">
        <f t="shared" si="5"/>
        <v>F</v>
      </c>
      <c r="AA114" s="66"/>
      <c r="AB114" s="66"/>
      <c r="AC114" s="66"/>
      <c r="AD114" s="172"/>
      <c r="AE114" s="172"/>
      <c r="AF114" s="172"/>
      <c r="AG114" s="172"/>
      <c r="AH114" s="172"/>
      <c r="AI114" s="172"/>
      <c r="AJ114" s="172"/>
      <c r="AK114" s="172"/>
      <c r="AL114" s="172"/>
    </row>
    <row r="115" spans="1:38" s="45" customFormat="1">
      <c r="A115" s="95"/>
      <c r="B115" s="73" t="s">
        <v>992</v>
      </c>
      <c r="C115" s="60">
        <v>2013</v>
      </c>
      <c r="D115" s="95"/>
      <c r="E115" s="73" t="s">
        <v>172</v>
      </c>
      <c r="F115" s="95"/>
      <c r="G115" s="95"/>
      <c r="H115" s="95" t="s">
        <v>771</v>
      </c>
      <c r="I115" s="95"/>
      <c r="J115" s="95" t="s">
        <v>1015</v>
      </c>
      <c r="K115" s="66" t="s">
        <v>1019</v>
      </c>
      <c r="L115" s="60" t="s">
        <v>996</v>
      </c>
      <c r="M115" s="60"/>
      <c r="N115" s="95"/>
      <c r="O115" s="95"/>
      <c r="P115" s="95"/>
      <c r="Q115" s="95"/>
      <c r="R115" s="95"/>
      <c r="S115" s="95"/>
      <c r="T115" s="95"/>
      <c r="U115" s="95">
        <v>0.90400000000000003</v>
      </c>
      <c r="V115" s="95"/>
      <c r="W115" s="95"/>
      <c r="X115" s="66">
        <f t="shared" si="3"/>
        <v>0.90400000000000003</v>
      </c>
      <c r="Y115" s="71">
        <v>109</v>
      </c>
      <c r="Z115" s="192" t="str">
        <f t="shared" si="5"/>
        <v>F</v>
      </c>
      <c r="AA115" s="66"/>
      <c r="AB115" s="66"/>
      <c r="AC115" s="66"/>
      <c r="AD115" s="172"/>
      <c r="AE115" s="172"/>
      <c r="AF115" s="172"/>
      <c r="AG115" s="172"/>
      <c r="AH115" s="172"/>
      <c r="AI115" s="172"/>
      <c r="AJ115" s="172"/>
      <c r="AK115" s="172"/>
      <c r="AL115" s="172"/>
    </row>
    <row r="116" spans="1:38" s="45" customFormat="1">
      <c r="A116" s="66"/>
      <c r="B116" s="73" t="s">
        <v>979</v>
      </c>
      <c r="C116" s="54">
        <v>2015</v>
      </c>
      <c r="D116" s="66"/>
      <c r="E116" s="56" t="s">
        <v>980</v>
      </c>
      <c r="F116" s="66"/>
      <c r="G116" s="54" t="s">
        <v>835</v>
      </c>
      <c r="H116" s="66" t="s">
        <v>43</v>
      </c>
      <c r="I116" s="66"/>
      <c r="J116" s="95" t="s">
        <v>1015</v>
      </c>
      <c r="K116" s="66" t="s">
        <v>1081</v>
      </c>
      <c r="L116" s="54" t="s">
        <v>983</v>
      </c>
      <c r="M116" s="66"/>
      <c r="N116" s="66"/>
      <c r="O116" s="66"/>
      <c r="P116" s="66"/>
      <c r="Q116" s="66"/>
      <c r="R116" s="66"/>
      <c r="S116" s="66"/>
      <c r="T116" s="66"/>
      <c r="U116" s="54">
        <v>0.90100000000000002</v>
      </c>
      <c r="V116" s="66"/>
      <c r="W116" s="66"/>
      <c r="X116" s="66">
        <f t="shared" si="3"/>
        <v>0.90100000000000002</v>
      </c>
      <c r="Y116" s="71">
        <v>116</v>
      </c>
      <c r="Z116" s="192" t="str">
        <f t="shared" si="5"/>
        <v>F</v>
      </c>
      <c r="AA116" s="66"/>
      <c r="AB116" s="66"/>
      <c r="AC116" s="66"/>
      <c r="AD116" s="172"/>
      <c r="AE116" s="172"/>
      <c r="AF116" s="172"/>
      <c r="AG116" s="172"/>
      <c r="AH116" s="172"/>
      <c r="AI116" s="172"/>
      <c r="AJ116" s="172"/>
      <c r="AK116" s="172"/>
      <c r="AL116" s="172"/>
    </row>
    <row r="117" spans="1:38" s="45" customFormat="1">
      <c r="A117" s="66"/>
      <c r="B117" s="73" t="s">
        <v>990</v>
      </c>
      <c r="C117" s="60">
        <v>2005</v>
      </c>
      <c r="D117" s="66"/>
      <c r="E117" s="73" t="s">
        <v>49</v>
      </c>
      <c r="F117" s="66"/>
      <c r="G117" s="66"/>
      <c r="H117" s="66" t="s">
        <v>38</v>
      </c>
      <c r="I117" s="66"/>
      <c r="J117" s="95" t="s">
        <v>1015</v>
      </c>
      <c r="K117" s="95" t="s">
        <v>1015</v>
      </c>
      <c r="L117" s="60" t="s">
        <v>991</v>
      </c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>
        <v>149.28</v>
      </c>
      <c r="X117" s="66" t="str">
        <f t="shared" si="3"/>
        <v/>
      </c>
      <c r="Y117" s="206">
        <f>+W117</f>
        <v>149.28</v>
      </c>
      <c r="Z117" s="192" t="s">
        <v>1193</v>
      </c>
      <c r="AA117" s="66"/>
      <c r="AB117" s="66"/>
      <c r="AC117" s="66"/>
      <c r="AD117" s="172"/>
      <c r="AE117" s="172"/>
      <c r="AF117" s="172"/>
      <c r="AG117" s="172"/>
      <c r="AH117" s="172"/>
      <c r="AI117" s="172"/>
      <c r="AJ117" s="172"/>
      <c r="AK117" s="172"/>
      <c r="AL117" s="172"/>
    </row>
    <row r="118" spans="1:38" s="45" customFormat="1">
      <c r="A118" s="66"/>
      <c r="B118" s="73" t="s">
        <v>979</v>
      </c>
      <c r="C118" s="54">
        <v>2015</v>
      </c>
      <c r="D118" s="66"/>
      <c r="E118" s="56" t="s">
        <v>49</v>
      </c>
      <c r="F118" s="66"/>
      <c r="G118" s="54" t="s">
        <v>835</v>
      </c>
      <c r="H118" s="66" t="s">
        <v>43</v>
      </c>
      <c r="I118" s="66"/>
      <c r="J118" s="95" t="s">
        <v>1015</v>
      </c>
      <c r="K118" s="66" t="s">
        <v>1081</v>
      </c>
      <c r="L118" s="54" t="s">
        <v>983</v>
      </c>
      <c r="M118" s="66"/>
      <c r="N118" s="66"/>
      <c r="O118" s="66"/>
      <c r="P118" s="66"/>
      <c r="Q118" s="66"/>
      <c r="R118" s="66"/>
      <c r="S118" s="66"/>
      <c r="T118" s="66"/>
      <c r="U118" s="54">
        <v>0.89600000000000002</v>
      </c>
      <c r="V118" s="66"/>
      <c r="W118" s="66"/>
      <c r="X118" s="66">
        <f t="shared" si="3"/>
        <v>0.89600000000000002</v>
      </c>
      <c r="Y118" s="71">
        <v>113</v>
      </c>
      <c r="Z118" s="192" t="str">
        <f t="shared" ref="Z118:Z149" si="6">IF(X118&lt;&gt;"",IF(X118&lt;0.9,"S","F"),"")</f>
        <v>S</v>
      </c>
      <c r="AA118" s="66"/>
      <c r="AB118" s="66"/>
      <c r="AC118" s="66"/>
      <c r="AD118" s="172"/>
      <c r="AE118" s="172"/>
      <c r="AF118" s="172"/>
      <c r="AG118" s="172"/>
      <c r="AH118" s="172"/>
      <c r="AI118" s="172"/>
      <c r="AJ118" s="172"/>
      <c r="AK118" s="172"/>
      <c r="AL118" s="172"/>
    </row>
    <row r="119" spans="1:38" s="45" customFormat="1">
      <c r="A119" s="53">
        <v>172</v>
      </c>
      <c r="B119" s="54" t="s">
        <v>585</v>
      </c>
      <c r="C119" s="54">
        <v>2010</v>
      </c>
      <c r="D119" s="54" t="s">
        <v>586</v>
      </c>
      <c r="E119" s="56" t="s">
        <v>589</v>
      </c>
      <c r="F119" s="57">
        <v>40227</v>
      </c>
      <c r="G119" s="54" t="s">
        <v>616</v>
      </c>
      <c r="H119" s="54" t="s">
        <v>38</v>
      </c>
      <c r="I119" s="54"/>
      <c r="J119" s="66" t="s">
        <v>1015</v>
      </c>
      <c r="K119" s="66" t="s">
        <v>1067</v>
      </c>
      <c r="L119" s="54" t="s">
        <v>617</v>
      </c>
      <c r="M119" s="88"/>
      <c r="N119" s="88"/>
      <c r="O119" s="54"/>
      <c r="P119" s="60"/>
      <c r="Q119" s="60"/>
      <c r="R119" s="54"/>
      <c r="S119" s="54"/>
      <c r="T119" s="54"/>
      <c r="U119" s="60">
        <v>0.89400000000000002</v>
      </c>
      <c r="V119" s="167"/>
      <c r="W119" s="167"/>
      <c r="X119" s="66">
        <f t="shared" si="3"/>
        <v>0.89400000000000002</v>
      </c>
      <c r="Y119" s="71">
        <v>128.55000000000001</v>
      </c>
      <c r="Z119" s="192" t="str">
        <f t="shared" si="6"/>
        <v>S</v>
      </c>
      <c r="AA119" s="66"/>
      <c r="AB119" s="66"/>
      <c r="AC119" s="66"/>
      <c r="AD119" s="172"/>
      <c r="AE119" s="172"/>
      <c r="AF119" s="172"/>
      <c r="AG119" s="172"/>
      <c r="AH119" s="172"/>
      <c r="AI119" s="172"/>
      <c r="AJ119" s="172"/>
      <c r="AK119" s="172"/>
      <c r="AL119" s="172"/>
    </row>
    <row r="120" spans="1:38" s="45" customFormat="1">
      <c r="A120" s="53">
        <v>173</v>
      </c>
      <c r="B120" s="54" t="s">
        <v>585</v>
      </c>
      <c r="C120" s="54">
        <v>2011</v>
      </c>
      <c r="D120" s="78" t="s">
        <v>636</v>
      </c>
      <c r="E120" s="56" t="s">
        <v>681</v>
      </c>
      <c r="F120" s="57" t="s">
        <v>690</v>
      </c>
      <c r="G120" s="54" t="s">
        <v>643</v>
      </c>
      <c r="H120" s="54" t="s">
        <v>41</v>
      </c>
      <c r="I120" s="54"/>
      <c r="J120" s="54" t="s">
        <v>1015</v>
      </c>
      <c r="K120" s="54" t="s">
        <v>1067</v>
      </c>
      <c r="L120" s="54" t="s">
        <v>39</v>
      </c>
      <c r="M120" s="59"/>
      <c r="N120" s="59"/>
      <c r="O120" s="54" t="s">
        <v>692</v>
      </c>
      <c r="P120" s="60"/>
      <c r="Q120" s="60"/>
      <c r="R120" s="54"/>
      <c r="S120" s="54"/>
      <c r="T120" s="54"/>
      <c r="U120" s="61">
        <v>0.86399999999999999</v>
      </c>
      <c r="V120" s="61"/>
      <c r="W120" s="61"/>
      <c r="X120" s="66">
        <f t="shared" si="3"/>
        <v>0.86399999999999999</v>
      </c>
      <c r="Y120" s="71">
        <v>156</v>
      </c>
      <c r="Z120" s="192" t="str">
        <f t="shared" si="6"/>
        <v>S</v>
      </c>
      <c r="AA120" s="66"/>
      <c r="AB120" s="66"/>
      <c r="AC120" s="66"/>
      <c r="AD120" s="172"/>
      <c r="AE120" s="172"/>
      <c r="AF120" s="172"/>
      <c r="AG120" s="172"/>
      <c r="AH120" s="172"/>
      <c r="AI120" s="172"/>
      <c r="AJ120" s="172"/>
      <c r="AK120" s="172"/>
      <c r="AL120" s="172"/>
    </row>
    <row r="121" spans="1:38" s="45" customFormat="1">
      <c r="A121" s="95"/>
      <c r="B121" s="73" t="s">
        <v>992</v>
      </c>
      <c r="C121" s="60">
        <v>2013</v>
      </c>
      <c r="D121" s="95"/>
      <c r="E121" s="73" t="s">
        <v>49</v>
      </c>
      <c r="F121" s="73"/>
      <c r="G121" s="95"/>
      <c r="H121" s="95" t="s">
        <v>771</v>
      </c>
      <c r="I121" s="95"/>
      <c r="J121" s="95" t="s">
        <v>1015</v>
      </c>
      <c r="K121" s="66" t="s">
        <v>1021</v>
      </c>
      <c r="L121" s="60" t="s">
        <v>994</v>
      </c>
      <c r="M121" s="60"/>
      <c r="N121" s="60"/>
      <c r="O121" s="60"/>
      <c r="P121" s="95"/>
      <c r="Q121" s="95"/>
      <c r="R121" s="95"/>
      <c r="S121" s="95"/>
      <c r="T121" s="95"/>
      <c r="U121" s="95">
        <v>0.85799999999999998</v>
      </c>
      <c r="V121" s="95"/>
      <c r="W121" s="95"/>
      <c r="X121" s="66">
        <f t="shared" si="3"/>
        <v>0.85799999999999998</v>
      </c>
      <c r="Y121" s="71">
        <v>158</v>
      </c>
      <c r="Z121" s="192" t="str">
        <f t="shared" si="6"/>
        <v>S</v>
      </c>
      <c r="AA121" s="66"/>
      <c r="AB121" s="66"/>
      <c r="AC121" s="66"/>
      <c r="AD121" s="172"/>
      <c r="AE121" s="172"/>
      <c r="AF121" s="172"/>
      <c r="AG121" s="172"/>
      <c r="AH121" s="172"/>
      <c r="AI121" s="172"/>
      <c r="AJ121" s="172"/>
      <c r="AK121" s="172"/>
      <c r="AL121" s="172"/>
    </row>
    <row r="122" spans="1:38" s="45" customFormat="1">
      <c r="A122" s="53">
        <v>173</v>
      </c>
      <c r="B122" s="54" t="s">
        <v>585</v>
      </c>
      <c r="C122" s="54">
        <v>2011</v>
      </c>
      <c r="D122" s="78" t="s">
        <v>636</v>
      </c>
      <c r="E122" s="56" t="s">
        <v>681</v>
      </c>
      <c r="F122" s="57" t="s">
        <v>690</v>
      </c>
      <c r="G122" s="54" t="s">
        <v>643</v>
      </c>
      <c r="H122" s="54" t="s">
        <v>41</v>
      </c>
      <c r="I122" s="54"/>
      <c r="J122" s="54" t="s">
        <v>1015</v>
      </c>
      <c r="K122" s="54" t="s">
        <v>1081</v>
      </c>
      <c r="L122" s="54" t="s">
        <v>693</v>
      </c>
      <c r="M122" s="59"/>
      <c r="N122" s="59"/>
      <c r="O122" s="54" t="s">
        <v>695</v>
      </c>
      <c r="P122" s="60"/>
      <c r="Q122" s="60"/>
      <c r="R122" s="54"/>
      <c r="S122" s="54"/>
      <c r="T122" s="54"/>
      <c r="U122" s="61">
        <v>0.84899999999999998</v>
      </c>
      <c r="V122" s="61"/>
      <c r="W122" s="61"/>
      <c r="X122" s="66">
        <f t="shared" si="3"/>
        <v>0.84899999999999998</v>
      </c>
      <c r="Y122" s="71">
        <v>175</v>
      </c>
      <c r="Z122" s="192" t="str">
        <f t="shared" si="6"/>
        <v>S</v>
      </c>
      <c r="AA122" s="66"/>
      <c r="AB122" s="66"/>
      <c r="AC122" s="66"/>
      <c r="AD122" s="172"/>
      <c r="AE122" s="172"/>
      <c r="AF122" s="172"/>
      <c r="AG122" s="172"/>
      <c r="AH122" s="172"/>
      <c r="AI122" s="172"/>
      <c r="AJ122" s="172"/>
      <c r="AK122" s="172"/>
      <c r="AL122" s="172"/>
    </row>
    <row r="123" spans="1:38" s="45" customFormat="1">
      <c r="A123" s="95"/>
      <c r="B123" s="73" t="s">
        <v>992</v>
      </c>
      <c r="C123" s="60">
        <v>2013</v>
      </c>
      <c r="D123" s="95"/>
      <c r="E123" s="73" t="s">
        <v>49</v>
      </c>
      <c r="F123" s="73"/>
      <c r="G123" s="95"/>
      <c r="H123" s="95" t="s">
        <v>771</v>
      </c>
      <c r="I123" s="95"/>
      <c r="J123" s="95" t="s">
        <v>1015</v>
      </c>
      <c r="K123" s="66" t="s">
        <v>1021</v>
      </c>
      <c r="L123" s="60" t="s">
        <v>993</v>
      </c>
      <c r="M123" s="60"/>
      <c r="N123" s="60"/>
      <c r="O123" s="95"/>
      <c r="P123" s="95"/>
      <c r="Q123" s="95"/>
      <c r="R123" s="95"/>
      <c r="S123" s="95"/>
      <c r="T123" s="95"/>
      <c r="U123" s="95">
        <v>0.82599999999999996</v>
      </c>
      <c r="V123" s="95"/>
      <c r="W123" s="95"/>
      <c r="X123" s="66">
        <f t="shared" si="3"/>
        <v>0.82599999999999996</v>
      </c>
      <c r="Y123" s="71">
        <v>140</v>
      </c>
      <c r="Z123" s="192" t="str">
        <f t="shared" si="6"/>
        <v>S</v>
      </c>
      <c r="AA123" s="66"/>
      <c r="AB123" s="66"/>
      <c r="AC123" s="66"/>
      <c r="AD123" s="172"/>
      <c r="AE123" s="172"/>
      <c r="AF123" s="172"/>
      <c r="AG123" s="172"/>
      <c r="AH123" s="172"/>
      <c r="AI123" s="172"/>
      <c r="AJ123" s="172"/>
      <c r="AK123" s="172"/>
      <c r="AL123" s="172"/>
    </row>
    <row r="124" spans="1:38" s="45" customFormat="1">
      <c r="A124" s="66"/>
      <c r="B124" s="73" t="s">
        <v>1000</v>
      </c>
      <c r="C124" s="60">
        <v>2013</v>
      </c>
      <c r="D124" s="66"/>
      <c r="E124" s="73" t="s">
        <v>49</v>
      </c>
      <c r="F124" s="66"/>
      <c r="G124" s="66"/>
      <c r="H124" s="66" t="s">
        <v>41</v>
      </c>
      <c r="I124" s="66"/>
      <c r="J124" s="66" t="s">
        <v>1015</v>
      </c>
      <c r="K124" s="85" t="s">
        <v>1016</v>
      </c>
      <c r="L124" s="60" t="s">
        <v>709</v>
      </c>
      <c r="M124" s="66" t="s">
        <v>1001</v>
      </c>
      <c r="N124" s="66"/>
      <c r="O124" s="66"/>
      <c r="P124" s="66"/>
      <c r="Q124" s="66"/>
      <c r="R124" s="66"/>
      <c r="S124" s="66"/>
      <c r="T124" s="66"/>
      <c r="U124" s="66">
        <v>0.82</v>
      </c>
      <c r="V124" s="66"/>
      <c r="W124" s="66"/>
      <c r="X124" s="66">
        <f t="shared" si="3"/>
        <v>0.82</v>
      </c>
      <c r="Y124" s="71">
        <v>230</v>
      </c>
      <c r="Z124" s="192" t="str">
        <f t="shared" si="6"/>
        <v>S</v>
      </c>
      <c r="AA124" s="66"/>
      <c r="AB124" s="66"/>
      <c r="AC124" s="66"/>
      <c r="AD124" s="172"/>
      <c r="AE124" s="172"/>
      <c r="AF124" s="172"/>
      <c r="AG124" s="172"/>
      <c r="AH124" s="172"/>
      <c r="AI124" s="172"/>
      <c r="AJ124" s="172"/>
      <c r="AK124" s="172"/>
      <c r="AL124" s="172"/>
    </row>
    <row r="125" spans="1:38" s="45" customFormat="1">
      <c r="A125" s="53">
        <v>173</v>
      </c>
      <c r="B125" s="54" t="s">
        <v>585</v>
      </c>
      <c r="C125" s="54">
        <v>2011</v>
      </c>
      <c r="D125" s="78" t="s">
        <v>636</v>
      </c>
      <c r="E125" s="56" t="s">
        <v>681</v>
      </c>
      <c r="F125" s="57" t="s">
        <v>690</v>
      </c>
      <c r="G125" s="54" t="s">
        <v>643</v>
      </c>
      <c r="H125" s="54" t="s">
        <v>41</v>
      </c>
      <c r="I125" s="54"/>
      <c r="J125" s="54" t="s">
        <v>1015</v>
      </c>
      <c r="K125" s="54" t="s">
        <v>1081</v>
      </c>
      <c r="L125" s="54" t="s">
        <v>693</v>
      </c>
      <c r="M125" s="59"/>
      <c r="N125" s="59"/>
      <c r="O125" s="54" t="s">
        <v>696</v>
      </c>
      <c r="P125" s="60"/>
      <c r="Q125" s="60"/>
      <c r="R125" s="54"/>
      <c r="S125" s="54"/>
      <c r="T125" s="54"/>
      <c r="U125" s="61">
        <v>0.79400000000000004</v>
      </c>
      <c r="V125" s="61"/>
      <c r="W125" s="61"/>
      <c r="X125" s="66">
        <f t="shared" si="3"/>
        <v>0.79400000000000004</v>
      </c>
      <c r="Y125" s="71">
        <v>238</v>
      </c>
      <c r="Z125" s="192" t="str">
        <f t="shared" si="6"/>
        <v>S</v>
      </c>
      <c r="AA125" s="66"/>
      <c r="AB125" s="66"/>
      <c r="AC125" s="66"/>
      <c r="AD125" s="172"/>
      <c r="AE125" s="172"/>
      <c r="AF125" s="172"/>
      <c r="AG125" s="172"/>
      <c r="AH125" s="172"/>
      <c r="AI125" s="172"/>
      <c r="AJ125" s="172"/>
      <c r="AK125" s="172"/>
      <c r="AL125" s="172"/>
    </row>
    <row r="126" spans="1:38" s="45" customFormat="1">
      <c r="A126" s="95"/>
      <c r="B126" s="73" t="s">
        <v>992</v>
      </c>
      <c r="C126" s="60">
        <v>2013</v>
      </c>
      <c r="D126" s="95"/>
      <c r="E126" s="73" t="s">
        <v>49</v>
      </c>
      <c r="F126" s="73"/>
      <c r="G126" s="95"/>
      <c r="H126" s="95" t="s">
        <v>771</v>
      </c>
      <c r="I126" s="95"/>
      <c r="J126" s="95" t="s">
        <v>1015</v>
      </c>
      <c r="K126" s="66" t="s">
        <v>1021</v>
      </c>
      <c r="L126" s="60" t="s">
        <v>995</v>
      </c>
      <c r="M126" s="60"/>
      <c r="N126" s="60"/>
      <c r="O126" s="60"/>
      <c r="P126" s="95"/>
      <c r="Q126" s="95"/>
      <c r="R126" s="95"/>
      <c r="S126" s="95"/>
      <c r="T126" s="95"/>
      <c r="U126" s="95">
        <v>0.78900000000000003</v>
      </c>
      <c r="V126" s="95"/>
      <c r="W126" s="95"/>
      <c r="X126" s="66">
        <f t="shared" si="3"/>
        <v>0.78900000000000003</v>
      </c>
      <c r="Y126" s="71">
        <v>222</v>
      </c>
      <c r="Z126" s="192" t="str">
        <f t="shared" si="6"/>
        <v>S</v>
      </c>
      <c r="AA126" s="66"/>
      <c r="AB126" s="66"/>
      <c r="AC126" s="66"/>
      <c r="AD126" s="172"/>
      <c r="AE126" s="172"/>
      <c r="AF126" s="172"/>
      <c r="AG126" s="172"/>
      <c r="AH126" s="172"/>
      <c r="AI126" s="172"/>
      <c r="AJ126" s="172"/>
      <c r="AK126" s="172"/>
      <c r="AL126" s="172"/>
    </row>
    <row r="127" spans="1:38" s="45" customFormat="1">
      <c r="A127" s="66"/>
      <c r="B127" s="73" t="s">
        <v>1000</v>
      </c>
      <c r="C127" s="60">
        <v>2013</v>
      </c>
      <c r="D127" s="66"/>
      <c r="E127" s="73" t="s">
        <v>49</v>
      </c>
      <c r="F127" s="66"/>
      <c r="G127" s="66"/>
      <c r="H127" s="66" t="s">
        <v>41</v>
      </c>
      <c r="I127" s="66"/>
      <c r="J127" s="66" t="s">
        <v>1015</v>
      </c>
      <c r="K127" s="85" t="s">
        <v>1016</v>
      </c>
      <c r="L127" s="60" t="s">
        <v>709</v>
      </c>
      <c r="M127" s="66" t="s">
        <v>1001</v>
      </c>
      <c r="N127" s="66"/>
      <c r="O127" s="66"/>
      <c r="P127" s="66"/>
      <c r="Q127" s="66"/>
      <c r="R127" s="66"/>
      <c r="S127" s="66"/>
      <c r="T127" s="66"/>
      <c r="U127" s="66">
        <v>0.76</v>
      </c>
      <c r="V127" s="66"/>
      <c r="W127" s="66"/>
      <c r="X127" s="66">
        <f t="shared" si="3"/>
        <v>0.76</v>
      </c>
      <c r="Y127" s="71">
        <v>302</v>
      </c>
      <c r="Z127" s="192" t="str">
        <f t="shared" si="6"/>
        <v>S</v>
      </c>
      <c r="AA127" s="66"/>
      <c r="AB127" s="66"/>
      <c r="AC127" s="66"/>
      <c r="AD127" s="172"/>
      <c r="AE127" s="172"/>
      <c r="AF127" s="172"/>
      <c r="AG127" s="172"/>
      <c r="AH127" s="172"/>
      <c r="AI127" s="172"/>
      <c r="AJ127" s="172"/>
      <c r="AK127" s="172"/>
      <c r="AL127" s="172"/>
    </row>
    <row r="128" spans="1:38" s="107" customFormat="1">
      <c r="A128" s="97">
        <v>42</v>
      </c>
      <c r="B128" s="103" t="s">
        <v>103</v>
      </c>
      <c r="C128" s="103">
        <v>1984</v>
      </c>
      <c r="D128" s="103" t="s">
        <v>104</v>
      </c>
      <c r="E128" s="99" t="s">
        <v>20</v>
      </c>
      <c r="F128" s="98">
        <v>1984</v>
      </c>
      <c r="G128" s="98" t="s">
        <v>107</v>
      </c>
      <c r="H128" s="98" t="s">
        <v>38</v>
      </c>
      <c r="I128" s="98"/>
      <c r="J128" s="98" t="s">
        <v>1015</v>
      </c>
      <c r="K128" s="98" t="s">
        <v>1157</v>
      </c>
      <c r="L128" s="98" t="s">
        <v>108</v>
      </c>
      <c r="M128" s="98" t="s">
        <v>109</v>
      </c>
      <c r="N128" s="98" t="s">
        <v>110</v>
      </c>
      <c r="O128" s="98">
        <v>10</v>
      </c>
      <c r="P128" s="98"/>
      <c r="Q128" s="98"/>
      <c r="R128" s="98"/>
      <c r="S128" s="98"/>
      <c r="T128" s="98"/>
      <c r="U128" s="98"/>
      <c r="V128" s="98"/>
      <c r="W128" s="98"/>
      <c r="X128" s="101" t="str">
        <f t="shared" si="3"/>
        <v/>
      </c>
      <c r="Y128" s="122">
        <v>163.5</v>
      </c>
      <c r="Z128" s="106" t="str">
        <f t="shared" si="6"/>
        <v/>
      </c>
      <c r="AA128" s="187"/>
      <c r="AB128" s="188" t="s">
        <v>1179</v>
      </c>
      <c r="AC128" s="188" t="s">
        <v>1182</v>
      </c>
      <c r="AD128" s="188" t="s">
        <v>1183</v>
      </c>
      <c r="AE128" s="188" t="s">
        <v>1184</v>
      </c>
      <c r="AF128" s="188" t="s">
        <v>1190</v>
      </c>
      <c r="AG128" s="188" t="s">
        <v>1186</v>
      </c>
      <c r="AK128" s="174"/>
      <c r="AL128" s="174"/>
    </row>
    <row r="129" spans="1:38" s="107" customFormat="1">
      <c r="A129" s="97">
        <v>42</v>
      </c>
      <c r="B129" s="103" t="s">
        <v>103</v>
      </c>
      <c r="C129" s="103">
        <v>1984</v>
      </c>
      <c r="D129" s="103" t="s">
        <v>104</v>
      </c>
      <c r="E129" s="99" t="s">
        <v>20</v>
      </c>
      <c r="F129" s="98">
        <v>1984</v>
      </c>
      <c r="G129" s="98" t="s">
        <v>107</v>
      </c>
      <c r="H129" s="98" t="s">
        <v>38</v>
      </c>
      <c r="I129" s="98"/>
      <c r="J129" s="98" t="s">
        <v>1015</v>
      </c>
      <c r="K129" s="98" t="s">
        <v>1157</v>
      </c>
      <c r="L129" s="98" t="s">
        <v>108</v>
      </c>
      <c r="M129" s="98" t="s">
        <v>109</v>
      </c>
      <c r="N129" s="98" t="s">
        <v>110</v>
      </c>
      <c r="O129" s="98">
        <v>11</v>
      </c>
      <c r="P129" s="98"/>
      <c r="Q129" s="98"/>
      <c r="R129" s="98"/>
      <c r="S129" s="98"/>
      <c r="T129" s="98"/>
      <c r="U129" s="98"/>
      <c r="V129" s="98"/>
      <c r="W129" s="98"/>
      <c r="X129" s="101" t="str">
        <f t="shared" si="3"/>
        <v/>
      </c>
      <c r="Y129" s="122">
        <v>148.30000000000001</v>
      </c>
      <c r="Z129" s="106" t="str">
        <f t="shared" si="6"/>
        <v/>
      </c>
      <c r="AA129" s="188" t="str">
        <f>+K129</f>
        <v>SE pine - slash pine needles</v>
      </c>
      <c r="AB129" s="191">
        <f>AVERAGE($Y$128:$Y$181)</f>
        <v>104.66222222222221</v>
      </c>
      <c r="AC129" s="191">
        <f>MEDIAN($Y$128:$Y$181)</f>
        <v>88.6</v>
      </c>
      <c r="AD129" s="191">
        <f>MAX($Y$128:$Y$181)</f>
        <v>193.6</v>
      </c>
      <c r="AE129" s="191">
        <f>MIN($Y$128:$Y$181)</f>
        <v>47.5</v>
      </c>
      <c r="AF129" s="191">
        <f>STDEV($Y$128:$Y$181)</f>
        <v>39.644835760988194</v>
      </c>
      <c r="AG129" s="188">
        <f>COUNT($Y$128:$Y$181)</f>
        <v>54</v>
      </c>
      <c r="AK129" s="174"/>
      <c r="AL129" s="174"/>
    </row>
    <row r="130" spans="1:38" s="107" customFormat="1">
      <c r="A130" s="97">
        <v>42</v>
      </c>
      <c r="B130" s="103" t="s">
        <v>103</v>
      </c>
      <c r="C130" s="103">
        <v>1984</v>
      </c>
      <c r="D130" s="103" t="s">
        <v>104</v>
      </c>
      <c r="E130" s="99" t="s">
        <v>20</v>
      </c>
      <c r="F130" s="98">
        <v>1984</v>
      </c>
      <c r="G130" s="98" t="s">
        <v>107</v>
      </c>
      <c r="H130" s="98" t="s">
        <v>38</v>
      </c>
      <c r="I130" s="98"/>
      <c r="J130" s="98" t="s">
        <v>1015</v>
      </c>
      <c r="K130" s="98" t="s">
        <v>1157</v>
      </c>
      <c r="L130" s="98" t="s">
        <v>108</v>
      </c>
      <c r="M130" s="98" t="s">
        <v>109</v>
      </c>
      <c r="N130" s="98" t="s">
        <v>110</v>
      </c>
      <c r="O130" s="98">
        <v>12</v>
      </c>
      <c r="P130" s="98"/>
      <c r="Q130" s="98"/>
      <c r="R130" s="98"/>
      <c r="S130" s="98"/>
      <c r="T130" s="98"/>
      <c r="U130" s="98"/>
      <c r="V130" s="98"/>
      <c r="W130" s="98"/>
      <c r="X130" s="101" t="str">
        <f t="shared" ref="X130:X193" si="7">IF(R130&lt;&gt;0,IF(R130&gt;1,R130/100,R130),IF(U130&lt;&gt;0,IF(U130&gt;1,U130/100,U130),""))</f>
        <v/>
      </c>
      <c r="Y130" s="122">
        <v>152.1</v>
      </c>
      <c r="Z130" s="106" t="str">
        <f t="shared" si="6"/>
        <v/>
      </c>
      <c r="AC130" s="101"/>
      <c r="AD130" s="174"/>
      <c r="AE130" s="174"/>
      <c r="AF130" s="174"/>
      <c r="AG130" s="174"/>
      <c r="AH130" s="174"/>
      <c r="AI130" s="174"/>
      <c r="AJ130" s="174"/>
      <c r="AK130" s="174"/>
      <c r="AL130" s="174"/>
    </row>
    <row r="131" spans="1:38" s="107" customFormat="1">
      <c r="A131" s="97">
        <v>42</v>
      </c>
      <c r="B131" s="103" t="s">
        <v>103</v>
      </c>
      <c r="C131" s="103">
        <v>1984</v>
      </c>
      <c r="D131" s="103" t="s">
        <v>104</v>
      </c>
      <c r="E131" s="99" t="s">
        <v>20</v>
      </c>
      <c r="F131" s="98">
        <v>1984</v>
      </c>
      <c r="G131" s="98" t="s">
        <v>107</v>
      </c>
      <c r="H131" s="98" t="s">
        <v>38</v>
      </c>
      <c r="I131" s="98"/>
      <c r="J131" s="98" t="s">
        <v>1015</v>
      </c>
      <c r="K131" s="98" t="s">
        <v>1157</v>
      </c>
      <c r="L131" s="98" t="s">
        <v>108</v>
      </c>
      <c r="M131" s="98" t="s">
        <v>109</v>
      </c>
      <c r="N131" s="98" t="s">
        <v>110</v>
      </c>
      <c r="O131" s="98">
        <v>13</v>
      </c>
      <c r="P131" s="98"/>
      <c r="Q131" s="98"/>
      <c r="R131" s="98"/>
      <c r="S131" s="98"/>
      <c r="T131" s="98"/>
      <c r="U131" s="98"/>
      <c r="V131" s="98"/>
      <c r="W131" s="98"/>
      <c r="X131" s="101" t="str">
        <f t="shared" si="7"/>
        <v/>
      </c>
      <c r="Y131" s="122">
        <v>157.19999999999999</v>
      </c>
      <c r="Z131" s="106" t="str">
        <f t="shared" si="6"/>
        <v/>
      </c>
      <c r="AC131" s="101"/>
      <c r="AD131" s="174"/>
      <c r="AE131" s="174"/>
      <c r="AF131" s="174"/>
      <c r="AG131" s="174"/>
      <c r="AH131" s="174"/>
      <c r="AI131" s="174"/>
      <c r="AJ131" s="174"/>
      <c r="AK131" s="174"/>
      <c r="AL131" s="174"/>
    </row>
    <row r="132" spans="1:38" s="107" customFormat="1">
      <c r="A132" s="97">
        <v>42</v>
      </c>
      <c r="B132" s="103" t="s">
        <v>103</v>
      </c>
      <c r="C132" s="103">
        <v>1984</v>
      </c>
      <c r="D132" s="103" t="s">
        <v>104</v>
      </c>
      <c r="E132" s="99" t="s">
        <v>20</v>
      </c>
      <c r="F132" s="98">
        <v>1984</v>
      </c>
      <c r="G132" s="98" t="s">
        <v>107</v>
      </c>
      <c r="H132" s="98" t="s">
        <v>38</v>
      </c>
      <c r="I132" s="98"/>
      <c r="J132" s="98" t="s">
        <v>1015</v>
      </c>
      <c r="K132" s="98" t="s">
        <v>1157</v>
      </c>
      <c r="L132" s="98" t="s">
        <v>108</v>
      </c>
      <c r="M132" s="98" t="s">
        <v>109</v>
      </c>
      <c r="N132" s="98" t="s">
        <v>110</v>
      </c>
      <c r="O132" s="98">
        <v>14</v>
      </c>
      <c r="P132" s="98"/>
      <c r="Q132" s="98"/>
      <c r="R132" s="98"/>
      <c r="S132" s="98"/>
      <c r="T132" s="98"/>
      <c r="U132" s="98"/>
      <c r="V132" s="98"/>
      <c r="W132" s="98"/>
      <c r="X132" s="101" t="str">
        <f t="shared" si="7"/>
        <v/>
      </c>
      <c r="Y132" s="122">
        <v>163.1</v>
      </c>
      <c r="Z132" s="106" t="str">
        <f t="shared" si="6"/>
        <v/>
      </c>
      <c r="AC132" s="101"/>
      <c r="AD132" s="174"/>
      <c r="AE132" s="174"/>
      <c r="AF132" s="174"/>
      <c r="AG132" s="174"/>
      <c r="AH132" s="174"/>
      <c r="AI132" s="174"/>
      <c r="AJ132" s="174"/>
      <c r="AK132" s="174"/>
      <c r="AL132" s="174"/>
    </row>
    <row r="133" spans="1:38" s="107" customFormat="1">
      <c r="A133" s="97">
        <v>42</v>
      </c>
      <c r="B133" s="103" t="s">
        <v>103</v>
      </c>
      <c r="C133" s="103">
        <v>1984</v>
      </c>
      <c r="D133" s="103" t="s">
        <v>104</v>
      </c>
      <c r="E133" s="99" t="s">
        <v>20</v>
      </c>
      <c r="F133" s="98">
        <v>1984</v>
      </c>
      <c r="G133" s="98" t="s">
        <v>107</v>
      </c>
      <c r="H133" s="98" t="s">
        <v>38</v>
      </c>
      <c r="I133" s="98"/>
      <c r="J133" s="98" t="s">
        <v>1015</v>
      </c>
      <c r="K133" s="98" t="s">
        <v>1157</v>
      </c>
      <c r="L133" s="98" t="s">
        <v>108</v>
      </c>
      <c r="M133" s="98" t="s">
        <v>109</v>
      </c>
      <c r="N133" s="98" t="s">
        <v>110</v>
      </c>
      <c r="O133" s="98">
        <v>15</v>
      </c>
      <c r="P133" s="98"/>
      <c r="Q133" s="98"/>
      <c r="R133" s="98"/>
      <c r="S133" s="98"/>
      <c r="T133" s="98"/>
      <c r="U133" s="98"/>
      <c r="V133" s="98"/>
      <c r="W133" s="98"/>
      <c r="X133" s="101" t="str">
        <f t="shared" si="7"/>
        <v/>
      </c>
      <c r="Y133" s="122">
        <v>173.4</v>
      </c>
      <c r="Z133" s="106" t="str">
        <f t="shared" si="6"/>
        <v/>
      </c>
      <c r="AC133" s="101"/>
      <c r="AD133" s="174"/>
      <c r="AE133" s="174"/>
      <c r="AF133" s="174"/>
      <c r="AG133" s="174"/>
      <c r="AH133" s="174"/>
      <c r="AI133" s="174"/>
      <c r="AJ133" s="174"/>
      <c r="AK133" s="174"/>
      <c r="AL133" s="174"/>
    </row>
    <row r="134" spans="1:38" s="107" customFormat="1">
      <c r="A134" s="97">
        <v>42</v>
      </c>
      <c r="B134" s="103" t="s">
        <v>103</v>
      </c>
      <c r="C134" s="103">
        <v>1984</v>
      </c>
      <c r="D134" s="103" t="s">
        <v>104</v>
      </c>
      <c r="E134" s="99" t="s">
        <v>20</v>
      </c>
      <c r="F134" s="98">
        <v>1984</v>
      </c>
      <c r="G134" s="98" t="s">
        <v>107</v>
      </c>
      <c r="H134" s="98" t="s">
        <v>38</v>
      </c>
      <c r="I134" s="98"/>
      <c r="J134" s="98" t="s">
        <v>1015</v>
      </c>
      <c r="K134" s="98" t="s">
        <v>1157</v>
      </c>
      <c r="L134" s="98" t="s">
        <v>108</v>
      </c>
      <c r="M134" s="98" t="s">
        <v>109</v>
      </c>
      <c r="N134" s="98" t="s">
        <v>110</v>
      </c>
      <c r="O134" s="98">
        <v>16</v>
      </c>
      <c r="P134" s="98"/>
      <c r="Q134" s="98"/>
      <c r="R134" s="98"/>
      <c r="S134" s="98"/>
      <c r="T134" s="98"/>
      <c r="U134" s="98"/>
      <c r="V134" s="98"/>
      <c r="W134" s="98"/>
      <c r="X134" s="101" t="str">
        <f t="shared" si="7"/>
        <v/>
      </c>
      <c r="Y134" s="122">
        <v>47.5</v>
      </c>
      <c r="Z134" s="106" t="str">
        <f t="shared" si="6"/>
        <v/>
      </c>
      <c r="AC134" s="101"/>
      <c r="AD134" s="174"/>
      <c r="AE134" s="174"/>
      <c r="AF134" s="174"/>
      <c r="AG134" s="174"/>
      <c r="AH134" s="174"/>
      <c r="AI134" s="174"/>
      <c r="AJ134" s="174"/>
      <c r="AK134" s="174"/>
      <c r="AL134" s="174"/>
    </row>
    <row r="135" spans="1:38" s="107" customFormat="1">
      <c r="A135" s="97">
        <v>42</v>
      </c>
      <c r="B135" s="103" t="s">
        <v>103</v>
      </c>
      <c r="C135" s="103">
        <v>1984</v>
      </c>
      <c r="D135" s="103" t="s">
        <v>104</v>
      </c>
      <c r="E135" s="99" t="s">
        <v>20</v>
      </c>
      <c r="F135" s="98">
        <v>1984</v>
      </c>
      <c r="G135" s="98" t="s">
        <v>107</v>
      </c>
      <c r="H135" s="98" t="s">
        <v>38</v>
      </c>
      <c r="I135" s="98"/>
      <c r="J135" s="98" t="s">
        <v>1015</v>
      </c>
      <c r="K135" s="98" t="s">
        <v>1157</v>
      </c>
      <c r="L135" s="98" t="s">
        <v>108</v>
      </c>
      <c r="M135" s="98" t="s">
        <v>109</v>
      </c>
      <c r="N135" s="98" t="s">
        <v>110</v>
      </c>
      <c r="O135" s="98">
        <v>17</v>
      </c>
      <c r="P135" s="98"/>
      <c r="Q135" s="98"/>
      <c r="R135" s="98"/>
      <c r="S135" s="98"/>
      <c r="T135" s="98"/>
      <c r="U135" s="98"/>
      <c r="V135" s="98"/>
      <c r="W135" s="98"/>
      <c r="X135" s="101" t="str">
        <f t="shared" si="7"/>
        <v/>
      </c>
      <c r="Y135" s="122">
        <v>158.19999999999999</v>
      </c>
      <c r="Z135" s="106" t="str">
        <f t="shared" si="6"/>
        <v/>
      </c>
      <c r="AA135" s="101"/>
      <c r="AB135" s="101"/>
      <c r="AC135" s="101"/>
      <c r="AD135" s="174"/>
      <c r="AE135" s="174"/>
      <c r="AF135" s="174"/>
      <c r="AG135" s="174"/>
      <c r="AH135" s="174"/>
      <c r="AI135" s="174"/>
      <c r="AJ135" s="174"/>
      <c r="AK135" s="174"/>
      <c r="AL135" s="174"/>
    </row>
    <row r="136" spans="1:38" s="107" customFormat="1">
      <c r="A136" s="97">
        <v>42</v>
      </c>
      <c r="B136" s="103" t="s">
        <v>103</v>
      </c>
      <c r="C136" s="103">
        <v>1984</v>
      </c>
      <c r="D136" s="103" t="s">
        <v>104</v>
      </c>
      <c r="E136" s="99" t="s">
        <v>20</v>
      </c>
      <c r="F136" s="98">
        <v>1984</v>
      </c>
      <c r="G136" s="98" t="s">
        <v>107</v>
      </c>
      <c r="H136" s="98" t="s">
        <v>38</v>
      </c>
      <c r="I136" s="98"/>
      <c r="J136" s="98" t="s">
        <v>1015</v>
      </c>
      <c r="K136" s="98" t="s">
        <v>1157</v>
      </c>
      <c r="L136" s="98" t="s">
        <v>108</v>
      </c>
      <c r="M136" s="98" t="s">
        <v>109</v>
      </c>
      <c r="N136" s="98" t="s">
        <v>110</v>
      </c>
      <c r="O136" s="98">
        <v>19</v>
      </c>
      <c r="P136" s="98"/>
      <c r="Q136" s="98"/>
      <c r="R136" s="98"/>
      <c r="S136" s="98"/>
      <c r="T136" s="98"/>
      <c r="U136" s="98"/>
      <c r="V136" s="98"/>
      <c r="W136" s="98"/>
      <c r="X136" s="101" t="str">
        <f t="shared" si="7"/>
        <v/>
      </c>
      <c r="Y136" s="122">
        <v>163.30000000000001</v>
      </c>
      <c r="Z136" s="106" t="str">
        <f t="shared" si="6"/>
        <v/>
      </c>
      <c r="AA136" s="101"/>
      <c r="AB136" s="101"/>
      <c r="AC136" s="101"/>
      <c r="AD136" s="174"/>
      <c r="AE136" s="174"/>
      <c r="AF136" s="174"/>
      <c r="AG136" s="174"/>
      <c r="AH136" s="174"/>
      <c r="AI136" s="174"/>
      <c r="AJ136" s="174"/>
      <c r="AK136" s="174"/>
      <c r="AL136" s="174"/>
    </row>
    <row r="137" spans="1:38" s="107" customFormat="1">
      <c r="A137" s="97">
        <v>42</v>
      </c>
      <c r="B137" s="103" t="s">
        <v>103</v>
      </c>
      <c r="C137" s="103">
        <v>1984</v>
      </c>
      <c r="D137" s="103" t="s">
        <v>104</v>
      </c>
      <c r="E137" s="99" t="s">
        <v>20</v>
      </c>
      <c r="F137" s="98">
        <v>1984</v>
      </c>
      <c r="G137" s="98" t="s">
        <v>107</v>
      </c>
      <c r="H137" s="98" t="s">
        <v>38</v>
      </c>
      <c r="I137" s="98"/>
      <c r="J137" s="98" t="s">
        <v>1015</v>
      </c>
      <c r="K137" s="98" t="s">
        <v>1157</v>
      </c>
      <c r="L137" s="98" t="s">
        <v>108</v>
      </c>
      <c r="M137" s="98" t="s">
        <v>109</v>
      </c>
      <c r="N137" s="98" t="s">
        <v>110</v>
      </c>
      <c r="O137" s="98">
        <v>40</v>
      </c>
      <c r="P137" s="98"/>
      <c r="Q137" s="98"/>
      <c r="R137" s="98"/>
      <c r="S137" s="98"/>
      <c r="T137" s="98"/>
      <c r="U137" s="98"/>
      <c r="V137" s="98"/>
      <c r="W137" s="98"/>
      <c r="X137" s="101" t="str">
        <f t="shared" si="7"/>
        <v/>
      </c>
      <c r="Y137" s="122">
        <v>76.91</v>
      </c>
      <c r="Z137" s="106" t="str">
        <f t="shared" si="6"/>
        <v/>
      </c>
      <c r="AA137" s="101"/>
      <c r="AB137" s="101"/>
      <c r="AC137" s="101"/>
      <c r="AD137" s="174"/>
      <c r="AE137" s="174"/>
      <c r="AF137" s="174"/>
      <c r="AG137" s="174"/>
      <c r="AH137" s="174"/>
      <c r="AI137" s="174"/>
      <c r="AJ137" s="174"/>
      <c r="AK137" s="174"/>
      <c r="AL137" s="174"/>
    </row>
    <row r="138" spans="1:38" s="107" customFormat="1">
      <c r="A138" s="97">
        <v>42</v>
      </c>
      <c r="B138" s="103" t="s">
        <v>103</v>
      </c>
      <c r="C138" s="103">
        <v>1984</v>
      </c>
      <c r="D138" s="103" t="s">
        <v>104</v>
      </c>
      <c r="E138" s="99" t="s">
        <v>20</v>
      </c>
      <c r="F138" s="98">
        <v>1984</v>
      </c>
      <c r="G138" s="98" t="s">
        <v>107</v>
      </c>
      <c r="H138" s="98" t="s">
        <v>38</v>
      </c>
      <c r="I138" s="98"/>
      <c r="J138" s="98" t="s">
        <v>1015</v>
      </c>
      <c r="K138" s="98" t="s">
        <v>1157</v>
      </c>
      <c r="L138" s="98" t="s">
        <v>108</v>
      </c>
      <c r="M138" s="98" t="s">
        <v>109</v>
      </c>
      <c r="N138" s="98" t="s">
        <v>110</v>
      </c>
      <c r="O138" s="98">
        <v>41</v>
      </c>
      <c r="P138" s="98"/>
      <c r="Q138" s="98"/>
      <c r="R138" s="98"/>
      <c r="S138" s="98"/>
      <c r="T138" s="98"/>
      <c r="U138" s="98"/>
      <c r="V138" s="98"/>
      <c r="W138" s="98"/>
      <c r="X138" s="101" t="str">
        <f t="shared" si="7"/>
        <v/>
      </c>
      <c r="Y138" s="122">
        <v>77.61</v>
      </c>
      <c r="Z138" s="106" t="str">
        <f t="shared" si="6"/>
        <v/>
      </c>
      <c r="AA138" s="101"/>
      <c r="AB138" s="101"/>
      <c r="AC138" s="101"/>
      <c r="AD138" s="174"/>
      <c r="AE138" s="174"/>
      <c r="AF138" s="174"/>
      <c r="AG138" s="174"/>
      <c r="AH138" s="174"/>
      <c r="AI138" s="174"/>
      <c r="AJ138" s="174"/>
      <c r="AK138" s="174"/>
      <c r="AL138" s="174"/>
    </row>
    <row r="139" spans="1:38" s="107" customFormat="1">
      <c r="A139" s="97">
        <v>42</v>
      </c>
      <c r="B139" s="103" t="s">
        <v>103</v>
      </c>
      <c r="C139" s="103">
        <v>1984</v>
      </c>
      <c r="D139" s="103" t="s">
        <v>104</v>
      </c>
      <c r="E139" s="99" t="s">
        <v>20</v>
      </c>
      <c r="F139" s="98">
        <v>1984</v>
      </c>
      <c r="G139" s="98" t="s">
        <v>107</v>
      </c>
      <c r="H139" s="98" t="s">
        <v>38</v>
      </c>
      <c r="I139" s="98"/>
      <c r="J139" s="98" t="s">
        <v>1015</v>
      </c>
      <c r="K139" s="98" t="s">
        <v>1157</v>
      </c>
      <c r="L139" s="98" t="s">
        <v>108</v>
      </c>
      <c r="M139" s="98" t="s">
        <v>109</v>
      </c>
      <c r="N139" s="98" t="s">
        <v>110</v>
      </c>
      <c r="O139" s="98">
        <v>42</v>
      </c>
      <c r="P139" s="98"/>
      <c r="Q139" s="98"/>
      <c r="R139" s="98"/>
      <c r="S139" s="98"/>
      <c r="T139" s="98"/>
      <c r="U139" s="98"/>
      <c r="V139" s="98"/>
      <c r="W139" s="98"/>
      <c r="X139" s="101" t="str">
        <f t="shared" si="7"/>
        <v/>
      </c>
      <c r="Y139" s="122">
        <v>76.59</v>
      </c>
      <c r="Z139" s="106" t="str">
        <f t="shared" si="6"/>
        <v/>
      </c>
      <c r="AA139" s="101"/>
      <c r="AB139" s="101"/>
      <c r="AC139" s="101"/>
      <c r="AD139" s="174"/>
      <c r="AE139" s="174"/>
      <c r="AF139" s="174"/>
      <c r="AG139" s="174"/>
      <c r="AH139" s="174"/>
      <c r="AI139" s="174"/>
      <c r="AJ139" s="174"/>
      <c r="AK139" s="174"/>
      <c r="AL139" s="174"/>
    </row>
    <row r="140" spans="1:38" s="107" customFormat="1">
      <c r="A140" s="97">
        <v>42</v>
      </c>
      <c r="B140" s="103" t="s">
        <v>103</v>
      </c>
      <c r="C140" s="103">
        <v>1984</v>
      </c>
      <c r="D140" s="103" t="s">
        <v>104</v>
      </c>
      <c r="E140" s="99" t="s">
        <v>20</v>
      </c>
      <c r="F140" s="98">
        <v>1984</v>
      </c>
      <c r="G140" s="98" t="s">
        <v>107</v>
      </c>
      <c r="H140" s="98" t="s">
        <v>38</v>
      </c>
      <c r="I140" s="98"/>
      <c r="J140" s="98" t="s">
        <v>1015</v>
      </c>
      <c r="K140" s="98" t="s">
        <v>1157</v>
      </c>
      <c r="L140" s="98" t="s">
        <v>108</v>
      </c>
      <c r="M140" s="98" t="s">
        <v>109</v>
      </c>
      <c r="N140" s="98" t="s">
        <v>110</v>
      </c>
      <c r="O140" s="98">
        <v>43</v>
      </c>
      <c r="P140" s="98"/>
      <c r="Q140" s="98"/>
      <c r="R140" s="98"/>
      <c r="S140" s="98"/>
      <c r="T140" s="98"/>
      <c r="U140" s="98"/>
      <c r="V140" s="98"/>
      <c r="W140" s="98"/>
      <c r="X140" s="101" t="str">
        <f t="shared" si="7"/>
        <v/>
      </c>
      <c r="Y140" s="122">
        <v>78.319999999999993</v>
      </c>
      <c r="Z140" s="106" t="str">
        <f t="shared" si="6"/>
        <v/>
      </c>
      <c r="AA140" s="101"/>
      <c r="AB140" s="101"/>
      <c r="AC140" s="101"/>
      <c r="AD140" s="174"/>
      <c r="AE140" s="174"/>
      <c r="AF140" s="174"/>
      <c r="AG140" s="174"/>
      <c r="AH140" s="174"/>
      <c r="AI140" s="174"/>
      <c r="AJ140" s="174"/>
      <c r="AK140" s="174"/>
      <c r="AL140" s="174"/>
    </row>
    <row r="141" spans="1:38" s="107" customFormat="1">
      <c r="A141" s="97">
        <v>42</v>
      </c>
      <c r="B141" s="103" t="s">
        <v>103</v>
      </c>
      <c r="C141" s="103">
        <v>1984</v>
      </c>
      <c r="D141" s="103" t="s">
        <v>104</v>
      </c>
      <c r="E141" s="99" t="s">
        <v>20</v>
      </c>
      <c r="F141" s="98">
        <v>1984</v>
      </c>
      <c r="G141" s="98" t="s">
        <v>107</v>
      </c>
      <c r="H141" s="98" t="s">
        <v>38</v>
      </c>
      <c r="I141" s="98"/>
      <c r="J141" s="98" t="s">
        <v>1015</v>
      </c>
      <c r="K141" s="98" t="s">
        <v>1157</v>
      </c>
      <c r="L141" s="98" t="s">
        <v>108</v>
      </c>
      <c r="M141" s="98" t="s">
        <v>109</v>
      </c>
      <c r="N141" s="98" t="s">
        <v>110</v>
      </c>
      <c r="O141" s="98">
        <v>44</v>
      </c>
      <c r="P141" s="98"/>
      <c r="Q141" s="98"/>
      <c r="R141" s="98"/>
      <c r="S141" s="98"/>
      <c r="T141" s="98"/>
      <c r="U141" s="98"/>
      <c r="V141" s="98"/>
      <c r="W141" s="98"/>
      <c r="X141" s="101" t="str">
        <f t="shared" si="7"/>
        <v/>
      </c>
      <c r="Y141" s="122">
        <v>80.78</v>
      </c>
      <c r="Z141" s="106" t="str">
        <f t="shared" si="6"/>
        <v/>
      </c>
      <c r="AA141" s="101"/>
      <c r="AB141" s="101"/>
      <c r="AC141" s="101"/>
      <c r="AD141" s="174"/>
      <c r="AE141" s="174"/>
      <c r="AF141" s="174"/>
      <c r="AG141" s="174"/>
      <c r="AH141" s="174"/>
      <c r="AI141" s="174"/>
      <c r="AJ141" s="174"/>
      <c r="AK141" s="174"/>
      <c r="AL141" s="174"/>
    </row>
    <row r="142" spans="1:38" s="107" customFormat="1">
      <c r="A142" s="97">
        <v>42</v>
      </c>
      <c r="B142" s="103" t="s">
        <v>103</v>
      </c>
      <c r="C142" s="103">
        <v>1984</v>
      </c>
      <c r="D142" s="103" t="s">
        <v>104</v>
      </c>
      <c r="E142" s="99" t="s">
        <v>20</v>
      </c>
      <c r="F142" s="98">
        <v>1984</v>
      </c>
      <c r="G142" s="98" t="s">
        <v>107</v>
      </c>
      <c r="H142" s="98" t="s">
        <v>38</v>
      </c>
      <c r="I142" s="98"/>
      <c r="J142" s="98" t="s">
        <v>1015</v>
      </c>
      <c r="K142" s="98" t="s">
        <v>1157</v>
      </c>
      <c r="L142" s="98" t="s">
        <v>108</v>
      </c>
      <c r="M142" s="98" t="s">
        <v>109</v>
      </c>
      <c r="N142" s="98" t="s">
        <v>110</v>
      </c>
      <c r="O142" s="98">
        <v>50</v>
      </c>
      <c r="P142" s="98"/>
      <c r="Q142" s="98"/>
      <c r="R142" s="98"/>
      <c r="S142" s="98"/>
      <c r="T142" s="98"/>
      <c r="U142" s="98"/>
      <c r="V142" s="98"/>
      <c r="W142" s="98"/>
      <c r="X142" s="101" t="str">
        <f t="shared" si="7"/>
        <v/>
      </c>
      <c r="Y142" s="122">
        <v>85.63</v>
      </c>
      <c r="Z142" s="106" t="str">
        <f t="shared" si="6"/>
        <v/>
      </c>
      <c r="AA142" s="101"/>
      <c r="AB142" s="101"/>
      <c r="AC142" s="101"/>
      <c r="AD142" s="174"/>
      <c r="AE142" s="174"/>
      <c r="AF142" s="174"/>
      <c r="AG142" s="174"/>
      <c r="AH142" s="174"/>
      <c r="AI142" s="174"/>
      <c r="AJ142" s="174"/>
      <c r="AK142" s="174"/>
      <c r="AL142" s="174"/>
    </row>
    <row r="143" spans="1:38" s="107" customFormat="1">
      <c r="A143" s="97">
        <v>42</v>
      </c>
      <c r="B143" s="103" t="s">
        <v>103</v>
      </c>
      <c r="C143" s="103">
        <v>1984</v>
      </c>
      <c r="D143" s="103" t="s">
        <v>104</v>
      </c>
      <c r="E143" s="99" t="s">
        <v>20</v>
      </c>
      <c r="F143" s="98">
        <v>1984</v>
      </c>
      <c r="G143" s="98" t="s">
        <v>107</v>
      </c>
      <c r="H143" s="98" t="s">
        <v>38</v>
      </c>
      <c r="I143" s="98"/>
      <c r="J143" s="98" t="s">
        <v>1015</v>
      </c>
      <c r="K143" s="98" t="s">
        <v>1157</v>
      </c>
      <c r="L143" s="98" t="s">
        <v>108</v>
      </c>
      <c r="M143" s="98" t="s">
        <v>109</v>
      </c>
      <c r="N143" s="98" t="s">
        <v>110</v>
      </c>
      <c r="O143" s="98">
        <v>51</v>
      </c>
      <c r="P143" s="98"/>
      <c r="Q143" s="98"/>
      <c r="R143" s="98"/>
      <c r="S143" s="98"/>
      <c r="T143" s="98"/>
      <c r="U143" s="98"/>
      <c r="V143" s="98"/>
      <c r="W143" s="98"/>
      <c r="X143" s="101" t="str">
        <f t="shared" si="7"/>
        <v/>
      </c>
      <c r="Y143" s="122">
        <v>84.05</v>
      </c>
      <c r="Z143" s="106" t="str">
        <f t="shared" si="6"/>
        <v/>
      </c>
      <c r="AA143" s="101"/>
      <c r="AB143" s="101"/>
      <c r="AC143" s="101"/>
      <c r="AD143" s="174"/>
      <c r="AE143" s="174"/>
      <c r="AF143" s="174"/>
      <c r="AG143" s="174"/>
      <c r="AH143" s="174"/>
      <c r="AI143" s="174"/>
      <c r="AJ143" s="174"/>
      <c r="AK143" s="174"/>
      <c r="AL143" s="174"/>
    </row>
    <row r="144" spans="1:38" s="107" customFormat="1">
      <c r="A144" s="97">
        <v>42</v>
      </c>
      <c r="B144" s="103" t="s">
        <v>103</v>
      </c>
      <c r="C144" s="103">
        <v>1984</v>
      </c>
      <c r="D144" s="103" t="s">
        <v>104</v>
      </c>
      <c r="E144" s="99" t="s">
        <v>20</v>
      </c>
      <c r="F144" s="98">
        <v>1984</v>
      </c>
      <c r="G144" s="98" t="s">
        <v>107</v>
      </c>
      <c r="H144" s="98" t="s">
        <v>38</v>
      </c>
      <c r="I144" s="98"/>
      <c r="J144" s="98" t="s">
        <v>1015</v>
      </c>
      <c r="K144" s="98" t="s">
        <v>1157</v>
      </c>
      <c r="L144" s="98" t="s">
        <v>108</v>
      </c>
      <c r="M144" s="98" t="s">
        <v>109</v>
      </c>
      <c r="N144" s="98" t="s">
        <v>110</v>
      </c>
      <c r="O144" s="98">
        <v>52</v>
      </c>
      <c r="P144" s="98"/>
      <c r="Q144" s="98"/>
      <c r="R144" s="98"/>
      <c r="S144" s="98"/>
      <c r="T144" s="98"/>
      <c r="U144" s="98"/>
      <c r="V144" s="98"/>
      <c r="W144" s="98"/>
      <c r="X144" s="101" t="str">
        <f t="shared" si="7"/>
        <v/>
      </c>
      <c r="Y144" s="122">
        <v>82.03</v>
      </c>
      <c r="Z144" s="106" t="str">
        <f t="shared" si="6"/>
        <v/>
      </c>
      <c r="AA144" s="101"/>
      <c r="AB144" s="101"/>
      <c r="AC144" s="101"/>
      <c r="AD144" s="174"/>
      <c r="AE144" s="174"/>
      <c r="AF144" s="174"/>
      <c r="AG144" s="174"/>
      <c r="AH144" s="174"/>
      <c r="AI144" s="174"/>
      <c r="AJ144" s="174"/>
      <c r="AK144" s="174"/>
      <c r="AL144" s="174"/>
    </row>
    <row r="145" spans="1:38" s="107" customFormat="1">
      <c r="A145" s="97">
        <v>42</v>
      </c>
      <c r="B145" s="103" t="s">
        <v>103</v>
      </c>
      <c r="C145" s="103">
        <v>1984</v>
      </c>
      <c r="D145" s="103" t="s">
        <v>104</v>
      </c>
      <c r="E145" s="99" t="s">
        <v>20</v>
      </c>
      <c r="F145" s="98">
        <v>1984</v>
      </c>
      <c r="G145" s="98" t="s">
        <v>107</v>
      </c>
      <c r="H145" s="98" t="s">
        <v>38</v>
      </c>
      <c r="I145" s="98"/>
      <c r="J145" s="98" t="s">
        <v>1015</v>
      </c>
      <c r="K145" s="98" t="s">
        <v>1157</v>
      </c>
      <c r="L145" s="98" t="s">
        <v>108</v>
      </c>
      <c r="M145" s="98" t="s">
        <v>109</v>
      </c>
      <c r="N145" s="98" t="s">
        <v>110</v>
      </c>
      <c r="O145" s="98">
        <v>53</v>
      </c>
      <c r="P145" s="98"/>
      <c r="Q145" s="98"/>
      <c r="R145" s="98"/>
      <c r="S145" s="98"/>
      <c r="T145" s="98"/>
      <c r="U145" s="98"/>
      <c r="V145" s="98"/>
      <c r="W145" s="98"/>
      <c r="X145" s="101" t="str">
        <f t="shared" si="7"/>
        <v/>
      </c>
      <c r="Y145" s="122">
        <v>82.34</v>
      </c>
      <c r="Z145" s="106" t="str">
        <f t="shared" si="6"/>
        <v/>
      </c>
      <c r="AA145" s="101"/>
      <c r="AB145" s="101"/>
      <c r="AC145" s="101"/>
      <c r="AD145" s="174"/>
      <c r="AE145" s="174"/>
      <c r="AF145" s="174"/>
      <c r="AG145" s="174"/>
      <c r="AH145" s="174"/>
      <c r="AI145" s="174"/>
      <c r="AJ145" s="174"/>
      <c r="AK145" s="174"/>
      <c r="AL145" s="174"/>
    </row>
    <row r="146" spans="1:38" s="107" customFormat="1">
      <c r="A146" s="97">
        <v>42</v>
      </c>
      <c r="B146" s="103" t="s">
        <v>103</v>
      </c>
      <c r="C146" s="103">
        <v>1984</v>
      </c>
      <c r="D146" s="103" t="s">
        <v>104</v>
      </c>
      <c r="E146" s="99" t="s">
        <v>20</v>
      </c>
      <c r="F146" s="98">
        <v>1984</v>
      </c>
      <c r="G146" s="98" t="s">
        <v>107</v>
      </c>
      <c r="H146" s="98" t="s">
        <v>38</v>
      </c>
      <c r="I146" s="98"/>
      <c r="J146" s="98" t="s">
        <v>1015</v>
      </c>
      <c r="K146" s="98" t="s">
        <v>1157</v>
      </c>
      <c r="L146" s="98" t="s">
        <v>108</v>
      </c>
      <c r="M146" s="98" t="s">
        <v>109</v>
      </c>
      <c r="N146" s="98" t="s">
        <v>110</v>
      </c>
      <c r="O146" s="98">
        <v>54</v>
      </c>
      <c r="P146" s="98"/>
      <c r="Q146" s="98"/>
      <c r="R146" s="98"/>
      <c r="S146" s="98"/>
      <c r="T146" s="98"/>
      <c r="U146" s="98"/>
      <c r="V146" s="98"/>
      <c r="W146" s="98"/>
      <c r="X146" s="101" t="str">
        <f t="shared" si="7"/>
        <v/>
      </c>
      <c r="Y146" s="122">
        <v>80.77</v>
      </c>
      <c r="Z146" s="106" t="str">
        <f t="shared" si="6"/>
        <v/>
      </c>
      <c r="AA146" s="101"/>
      <c r="AB146" s="101"/>
      <c r="AC146" s="101"/>
      <c r="AD146" s="174"/>
      <c r="AE146" s="174"/>
      <c r="AF146" s="174"/>
      <c r="AG146" s="174"/>
      <c r="AH146" s="174"/>
      <c r="AI146" s="174"/>
      <c r="AJ146" s="174"/>
      <c r="AK146" s="174"/>
      <c r="AL146" s="174"/>
    </row>
    <row r="147" spans="1:38" s="107" customFormat="1">
      <c r="A147" s="97">
        <v>42</v>
      </c>
      <c r="B147" s="103" t="s">
        <v>103</v>
      </c>
      <c r="C147" s="103">
        <v>1984</v>
      </c>
      <c r="D147" s="103" t="s">
        <v>104</v>
      </c>
      <c r="E147" s="99" t="s">
        <v>20</v>
      </c>
      <c r="F147" s="98">
        <v>1984</v>
      </c>
      <c r="G147" s="98" t="s">
        <v>107</v>
      </c>
      <c r="H147" s="98" t="s">
        <v>38</v>
      </c>
      <c r="I147" s="98"/>
      <c r="J147" s="98" t="s">
        <v>1015</v>
      </c>
      <c r="K147" s="98" t="s">
        <v>1157</v>
      </c>
      <c r="L147" s="98" t="s">
        <v>108</v>
      </c>
      <c r="M147" s="98" t="s">
        <v>109</v>
      </c>
      <c r="N147" s="98" t="s">
        <v>110</v>
      </c>
      <c r="O147" s="98">
        <v>60</v>
      </c>
      <c r="P147" s="98"/>
      <c r="Q147" s="98"/>
      <c r="R147" s="98"/>
      <c r="S147" s="98"/>
      <c r="T147" s="98"/>
      <c r="U147" s="98"/>
      <c r="V147" s="98"/>
      <c r="W147" s="98"/>
      <c r="X147" s="101" t="str">
        <f t="shared" si="7"/>
        <v/>
      </c>
      <c r="Y147" s="122">
        <v>96.68</v>
      </c>
      <c r="Z147" s="106" t="str">
        <f t="shared" si="6"/>
        <v/>
      </c>
      <c r="AA147" s="101"/>
      <c r="AB147" s="101"/>
      <c r="AC147" s="101"/>
      <c r="AD147" s="174"/>
      <c r="AE147" s="174"/>
      <c r="AF147" s="174"/>
      <c r="AG147" s="174"/>
      <c r="AH147" s="174"/>
      <c r="AI147" s="174"/>
      <c r="AJ147" s="174"/>
      <c r="AK147" s="174"/>
      <c r="AL147" s="174"/>
    </row>
    <row r="148" spans="1:38" s="107" customFormat="1">
      <c r="A148" s="97">
        <v>42</v>
      </c>
      <c r="B148" s="103" t="s">
        <v>103</v>
      </c>
      <c r="C148" s="103">
        <v>1984</v>
      </c>
      <c r="D148" s="103" t="s">
        <v>104</v>
      </c>
      <c r="E148" s="99" t="s">
        <v>20</v>
      </c>
      <c r="F148" s="98">
        <v>1984</v>
      </c>
      <c r="G148" s="98" t="s">
        <v>107</v>
      </c>
      <c r="H148" s="98" t="s">
        <v>38</v>
      </c>
      <c r="I148" s="98"/>
      <c r="J148" s="98" t="s">
        <v>1015</v>
      </c>
      <c r="K148" s="98" t="s">
        <v>1157</v>
      </c>
      <c r="L148" s="98" t="s">
        <v>108</v>
      </c>
      <c r="M148" s="98" t="s">
        <v>109</v>
      </c>
      <c r="N148" s="98" t="s">
        <v>110</v>
      </c>
      <c r="O148" s="98">
        <v>61</v>
      </c>
      <c r="P148" s="98"/>
      <c r="Q148" s="98"/>
      <c r="R148" s="98"/>
      <c r="S148" s="98"/>
      <c r="T148" s="98"/>
      <c r="U148" s="98"/>
      <c r="V148" s="98"/>
      <c r="W148" s="98"/>
      <c r="X148" s="101" t="str">
        <f t="shared" si="7"/>
        <v/>
      </c>
      <c r="Y148" s="122">
        <v>95.23</v>
      </c>
      <c r="Z148" s="106" t="str">
        <f t="shared" si="6"/>
        <v/>
      </c>
      <c r="AA148" s="101"/>
      <c r="AB148" s="101"/>
      <c r="AC148" s="101"/>
      <c r="AD148" s="174"/>
      <c r="AE148" s="174"/>
      <c r="AF148" s="174"/>
      <c r="AG148" s="174"/>
      <c r="AH148" s="174"/>
      <c r="AI148" s="174"/>
      <c r="AJ148" s="174"/>
      <c r="AK148" s="174"/>
      <c r="AL148" s="174"/>
    </row>
    <row r="149" spans="1:38" s="107" customFormat="1">
      <c r="A149" s="97">
        <v>42</v>
      </c>
      <c r="B149" s="103" t="s">
        <v>103</v>
      </c>
      <c r="C149" s="103">
        <v>1984</v>
      </c>
      <c r="D149" s="103" t="s">
        <v>104</v>
      </c>
      <c r="E149" s="99" t="s">
        <v>20</v>
      </c>
      <c r="F149" s="98">
        <v>1984</v>
      </c>
      <c r="G149" s="98" t="s">
        <v>107</v>
      </c>
      <c r="H149" s="98" t="s">
        <v>38</v>
      </c>
      <c r="I149" s="98"/>
      <c r="J149" s="98" t="s">
        <v>1015</v>
      </c>
      <c r="K149" s="98" t="s">
        <v>1157</v>
      </c>
      <c r="L149" s="98" t="s">
        <v>108</v>
      </c>
      <c r="M149" s="98" t="s">
        <v>109</v>
      </c>
      <c r="N149" s="98" t="s">
        <v>110</v>
      </c>
      <c r="O149" s="98">
        <v>62</v>
      </c>
      <c r="P149" s="98"/>
      <c r="Q149" s="98"/>
      <c r="R149" s="98"/>
      <c r="S149" s="98"/>
      <c r="T149" s="98"/>
      <c r="U149" s="98"/>
      <c r="V149" s="98"/>
      <c r="W149" s="98"/>
      <c r="X149" s="101" t="str">
        <f t="shared" si="7"/>
        <v/>
      </c>
      <c r="Y149" s="122">
        <v>96.79</v>
      </c>
      <c r="Z149" s="106" t="str">
        <f t="shared" si="6"/>
        <v/>
      </c>
      <c r="AA149" s="101"/>
      <c r="AB149" s="101"/>
      <c r="AC149" s="101"/>
      <c r="AD149" s="174"/>
      <c r="AE149" s="174"/>
      <c r="AF149" s="174"/>
      <c r="AG149" s="174"/>
      <c r="AH149" s="174"/>
      <c r="AI149" s="174"/>
      <c r="AJ149" s="174"/>
      <c r="AK149" s="174"/>
      <c r="AL149" s="174"/>
    </row>
    <row r="150" spans="1:38" s="107" customFormat="1">
      <c r="A150" s="97">
        <v>42</v>
      </c>
      <c r="B150" s="103" t="s">
        <v>103</v>
      </c>
      <c r="C150" s="103">
        <v>1984</v>
      </c>
      <c r="D150" s="103" t="s">
        <v>104</v>
      </c>
      <c r="E150" s="99" t="s">
        <v>20</v>
      </c>
      <c r="F150" s="98">
        <v>1984</v>
      </c>
      <c r="G150" s="98" t="s">
        <v>107</v>
      </c>
      <c r="H150" s="98" t="s">
        <v>38</v>
      </c>
      <c r="I150" s="98"/>
      <c r="J150" s="98" t="s">
        <v>1015</v>
      </c>
      <c r="K150" s="98" t="s">
        <v>1157</v>
      </c>
      <c r="L150" s="98" t="s">
        <v>108</v>
      </c>
      <c r="M150" s="98" t="s">
        <v>109</v>
      </c>
      <c r="N150" s="98" t="s">
        <v>110</v>
      </c>
      <c r="O150" s="98">
        <v>63</v>
      </c>
      <c r="P150" s="98"/>
      <c r="Q150" s="98"/>
      <c r="R150" s="98"/>
      <c r="S150" s="98"/>
      <c r="T150" s="98"/>
      <c r="U150" s="98"/>
      <c r="V150" s="98"/>
      <c r="W150" s="98"/>
      <c r="X150" s="101" t="str">
        <f t="shared" si="7"/>
        <v/>
      </c>
      <c r="Y150" s="122">
        <v>89.2</v>
      </c>
      <c r="Z150" s="106" t="str">
        <f t="shared" ref="Z150:Z181" si="8">IF(X150&lt;&gt;"",IF(X150&lt;0.9,"S","F"),"")</f>
        <v/>
      </c>
      <c r="AA150" s="101"/>
      <c r="AB150" s="101"/>
      <c r="AC150" s="101"/>
      <c r="AD150" s="174"/>
      <c r="AE150" s="174"/>
      <c r="AF150" s="174"/>
      <c r="AG150" s="174"/>
      <c r="AH150" s="174"/>
      <c r="AI150" s="174"/>
      <c r="AJ150" s="174"/>
      <c r="AK150" s="174"/>
      <c r="AL150" s="174"/>
    </row>
    <row r="151" spans="1:38" s="107" customFormat="1">
      <c r="A151" s="97">
        <v>42</v>
      </c>
      <c r="B151" s="103" t="s">
        <v>103</v>
      </c>
      <c r="C151" s="103">
        <v>1984</v>
      </c>
      <c r="D151" s="103" t="s">
        <v>104</v>
      </c>
      <c r="E151" s="99" t="s">
        <v>20</v>
      </c>
      <c r="F151" s="98">
        <v>1984</v>
      </c>
      <c r="G151" s="98" t="s">
        <v>107</v>
      </c>
      <c r="H151" s="98" t="s">
        <v>38</v>
      </c>
      <c r="I151" s="98"/>
      <c r="J151" s="98" t="s">
        <v>1015</v>
      </c>
      <c r="K151" s="98" t="s">
        <v>1157</v>
      </c>
      <c r="L151" s="98" t="s">
        <v>108</v>
      </c>
      <c r="M151" s="98" t="s">
        <v>109</v>
      </c>
      <c r="N151" s="98" t="s">
        <v>110</v>
      </c>
      <c r="O151" s="98">
        <v>64</v>
      </c>
      <c r="P151" s="98"/>
      <c r="Q151" s="98"/>
      <c r="R151" s="98"/>
      <c r="S151" s="98"/>
      <c r="T151" s="98"/>
      <c r="U151" s="98"/>
      <c r="V151" s="98"/>
      <c r="W151" s="98"/>
      <c r="X151" s="101" t="str">
        <f t="shared" si="7"/>
        <v/>
      </c>
      <c r="Y151" s="122">
        <v>84.02</v>
      </c>
      <c r="Z151" s="106" t="str">
        <f t="shared" si="8"/>
        <v/>
      </c>
      <c r="AA151" s="101"/>
      <c r="AB151" s="101"/>
      <c r="AC151" s="101"/>
      <c r="AD151" s="174"/>
      <c r="AE151" s="174"/>
      <c r="AF151" s="174"/>
      <c r="AG151" s="174"/>
      <c r="AH151" s="174"/>
      <c r="AI151" s="174"/>
      <c r="AJ151" s="174"/>
      <c r="AK151" s="174"/>
      <c r="AL151" s="174"/>
    </row>
    <row r="152" spans="1:38" s="107" customFormat="1">
      <c r="A152" s="97">
        <v>42</v>
      </c>
      <c r="B152" s="103" t="s">
        <v>103</v>
      </c>
      <c r="C152" s="103">
        <v>1984</v>
      </c>
      <c r="D152" s="103" t="s">
        <v>104</v>
      </c>
      <c r="E152" s="99" t="s">
        <v>20</v>
      </c>
      <c r="F152" s="98">
        <v>1984</v>
      </c>
      <c r="G152" s="98" t="s">
        <v>107</v>
      </c>
      <c r="H152" s="98" t="s">
        <v>38</v>
      </c>
      <c r="I152" s="98"/>
      <c r="J152" s="98" t="s">
        <v>1015</v>
      </c>
      <c r="K152" s="98" t="s">
        <v>1157</v>
      </c>
      <c r="L152" s="98" t="s">
        <v>108</v>
      </c>
      <c r="M152" s="98" t="s">
        <v>109</v>
      </c>
      <c r="N152" s="98" t="s">
        <v>110</v>
      </c>
      <c r="O152" s="98">
        <v>65</v>
      </c>
      <c r="P152" s="98"/>
      <c r="Q152" s="98"/>
      <c r="R152" s="98"/>
      <c r="S152" s="98"/>
      <c r="T152" s="98"/>
      <c r="U152" s="98"/>
      <c r="V152" s="98"/>
      <c r="W152" s="98"/>
      <c r="X152" s="101" t="str">
        <f t="shared" si="7"/>
        <v/>
      </c>
      <c r="Y152" s="122">
        <v>101</v>
      </c>
      <c r="Z152" s="106" t="str">
        <f t="shared" si="8"/>
        <v/>
      </c>
      <c r="AA152" s="101"/>
      <c r="AB152" s="101"/>
      <c r="AC152" s="101"/>
      <c r="AD152" s="174"/>
      <c r="AE152" s="174"/>
      <c r="AF152" s="174"/>
      <c r="AG152" s="174"/>
      <c r="AH152" s="174"/>
      <c r="AI152" s="174"/>
      <c r="AJ152" s="174"/>
      <c r="AK152" s="174"/>
      <c r="AL152" s="174"/>
    </row>
    <row r="153" spans="1:38" s="107" customFormat="1">
      <c r="A153" s="97">
        <v>42</v>
      </c>
      <c r="B153" s="103" t="s">
        <v>103</v>
      </c>
      <c r="C153" s="103">
        <v>1984</v>
      </c>
      <c r="D153" s="103" t="s">
        <v>104</v>
      </c>
      <c r="E153" s="99" t="s">
        <v>20</v>
      </c>
      <c r="F153" s="98">
        <v>1984</v>
      </c>
      <c r="G153" s="98" t="s">
        <v>107</v>
      </c>
      <c r="H153" s="98" t="s">
        <v>38</v>
      </c>
      <c r="I153" s="98"/>
      <c r="J153" s="98" t="s">
        <v>1015</v>
      </c>
      <c r="K153" s="98" t="s">
        <v>1157</v>
      </c>
      <c r="L153" s="98" t="s">
        <v>108</v>
      </c>
      <c r="M153" s="98" t="s">
        <v>109</v>
      </c>
      <c r="N153" s="98" t="s">
        <v>110</v>
      </c>
      <c r="O153" s="98">
        <v>70</v>
      </c>
      <c r="P153" s="98"/>
      <c r="Q153" s="98"/>
      <c r="R153" s="98"/>
      <c r="S153" s="98"/>
      <c r="T153" s="98"/>
      <c r="U153" s="98"/>
      <c r="V153" s="98"/>
      <c r="W153" s="98"/>
      <c r="X153" s="101" t="str">
        <f t="shared" si="7"/>
        <v/>
      </c>
      <c r="Y153" s="122">
        <v>176.1</v>
      </c>
      <c r="Z153" s="106" t="str">
        <f t="shared" si="8"/>
        <v/>
      </c>
      <c r="AA153" s="101"/>
      <c r="AB153" s="101"/>
      <c r="AC153" s="101"/>
      <c r="AD153" s="174"/>
      <c r="AE153" s="174"/>
      <c r="AF153" s="174"/>
      <c r="AG153" s="174"/>
      <c r="AH153" s="174"/>
      <c r="AI153" s="174"/>
      <c r="AJ153" s="174"/>
      <c r="AK153" s="174"/>
      <c r="AL153" s="174"/>
    </row>
    <row r="154" spans="1:38" s="107" customFormat="1">
      <c r="A154" s="97">
        <v>42</v>
      </c>
      <c r="B154" s="103" t="s">
        <v>103</v>
      </c>
      <c r="C154" s="103">
        <v>1984</v>
      </c>
      <c r="D154" s="103" t="s">
        <v>104</v>
      </c>
      <c r="E154" s="99" t="s">
        <v>20</v>
      </c>
      <c r="F154" s="98">
        <v>1984</v>
      </c>
      <c r="G154" s="98" t="s">
        <v>107</v>
      </c>
      <c r="H154" s="98" t="s">
        <v>38</v>
      </c>
      <c r="I154" s="98"/>
      <c r="J154" s="98" t="s">
        <v>1015</v>
      </c>
      <c r="K154" s="98" t="s">
        <v>1157</v>
      </c>
      <c r="L154" s="98" t="s">
        <v>108</v>
      </c>
      <c r="M154" s="98" t="s">
        <v>109</v>
      </c>
      <c r="N154" s="98" t="s">
        <v>110</v>
      </c>
      <c r="O154" s="98">
        <v>71</v>
      </c>
      <c r="P154" s="98"/>
      <c r="Q154" s="98"/>
      <c r="R154" s="98"/>
      <c r="S154" s="98"/>
      <c r="T154" s="98"/>
      <c r="U154" s="98"/>
      <c r="V154" s="98"/>
      <c r="W154" s="98"/>
      <c r="X154" s="101" t="str">
        <f t="shared" si="7"/>
        <v/>
      </c>
      <c r="Y154" s="122">
        <v>160.4</v>
      </c>
      <c r="Z154" s="106" t="str">
        <f t="shared" si="8"/>
        <v/>
      </c>
      <c r="AA154" s="101"/>
      <c r="AB154" s="101"/>
      <c r="AC154" s="101"/>
      <c r="AD154" s="174"/>
      <c r="AE154" s="174"/>
      <c r="AF154" s="174"/>
      <c r="AG154" s="174"/>
      <c r="AH154" s="174"/>
      <c r="AI154" s="174"/>
      <c r="AJ154" s="174"/>
      <c r="AK154" s="174"/>
      <c r="AL154" s="174"/>
    </row>
    <row r="155" spans="1:38" s="107" customFormat="1">
      <c r="A155" s="97">
        <v>42</v>
      </c>
      <c r="B155" s="103" t="s">
        <v>103</v>
      </c>
      <c r="C155" s="103">
        <v>1984</v>
      </c>
      <c r="D155" s="103" t="s">
        <v>104</v>
      </c>
      <c r="E155" s="99" t="s">
        <v>20</v>
      </c>
      <c r="F155" s="98">
        <v>1984</v>
      </c>
      <c r="G155" s="98" t="s">
        <v>107</v>
      </c>
      <c r="H155" s="98" t="s">
        <v>38</v>
      </c>
      <c r="I155" s="98"/>
      <c r="J155" s="98" t="s">
        <v>1015</v>
      </c>
      <c r="K155" s="98" t="s">
        <v>1157</v>
      </c>
      <c r="L155" s="98" t="s">
        <v>108</v>
      </c>
      <c r="M155" s="98" t="s">
        <v>109</v>
      </c>
      <c r="N155" s="98" t="s">
        <v>110</v>
      </c>
      <c r="O155" s="98">
        <v>72</v>
      </c>
      <c r="P155" s="98"/>
      <c r="Q155" s="98"/>
      <c r="R155" s="98"/>
      <c r="S155" s="98"/>
      <c r="T155" s="98"/>
      <c r="U155" s="98"/>
      <c r="V155" s="98"/>
      <c r="W155" s="98"/>
      <c r="X155" s="101" t="str">
        <f t="shared" si="7"/>
        <v/>
      </c>
      <c r="Y155" s="122">
        <v>47.82</v>
      </c>
      <c r="Z155" s="106" t="str">
        <f t="shared" si="8"/>
        <v/>
      </c>
      <c r="AA155" s="101"/>
      <c r="AB155" s="101"/>
      <c r="AC155" s="101"/>
      <c r="AD155" s="174"/>
      <c r="AE155" s="174"/>
      <c r="AF155" s="174"/>
      <c r="AG155" s="174"/>
      <c r="AH155" s="174"/>
      <c r="AI155" s="174"/>
      <c r="AJ155" s="174"/>
      <c r="AK155" s="174"/>
      <c r="AL155" s="174"/>
    </row>
    <row r="156" spans="1:38" s="107" customFormat="1">
      <c r="A156" s="97">
        <v>42</v>
      </c>
      <c r="B156" s="103" t="s">
        <v>103</v>
      </c>
      <c r="C156" s="103">
        <v>1984</v>
      </c>
      <c r="D156" s="103" t="s">
        <v>104</v>
      </c>
      <c r="E156" s="99" t="s">
        <v>20</v>
      </c>
      <c r="F156" s="98">
        <v>1984</v>
      </c>
      <c r="G156" s="98" t="s">
        <v>107</v>
      </c>
      <c r="H156" s="98" t="s">
        <v>38</v>
      </c>
      <c r="I156" s="98"/>
      <c r="J156" s="98" t="s">
        <v>1015</v>
      </c>
      <c r="K156" s="98" t="s">
        <v>1157</v>
      </c>
      <c r="L156" s="98" t="s">
        <v>108</v>
      </c>
      <c r="M156" s="98" t="s">
        <v>109</v>
      </c>
      <c r="N156" s="98" t="s">
        <v>110</v>
      </c>
      <c r="O156" s="98">
        <v>73</v>
      </c>
      <c r="P156" s="98"/>
      <c r="Q156" s="98"/>
      <c r="R156" s="98"/>
      <c r="S156" s="98"/>
      <c r="T156" s="98"/>
      <c r="U156" s="98"/>
      <c r="V156" s="98"/>
      <c r="W156" s="98"/>
      <c r="X156" s="101" t="str">
        <f t="shared" si="7"/>
        <v/>
      </c>
      <c r="Y156" s="122">
        <v>180.6</v>
      </c>
      <c r="Z156" s="106" t="str">
        <f t="shared" si="8"/>
        <v/>
      </c>
      <c r="AA156" s="101"/>
      <c r="AB156" s="101"/>
      <c r="AC156" s="101"/>
      <c r="AD156" s="174"/>
      <c r="AE156" s="174"/>
      <c r="AF156" s="174"/>
      <c r="AG156" s="174"/>
      <c r="AH156" s="174"/>
      <c r="AI156" s="174"/>
      <c r="AJ156" s="174"/>
      <c r="AK156" s="174"/>
      <c r="AL156" s="174"/>
    </row>
    <row r="157" spans="1:38" s="107" customFormat="1">
      <c r="A157" s="97">
        <v>42</v>
      </c>
      <c r="B157" s="103" t="s">
        <v>103</v>
      </c>
      <c r="C157" s="103">
        <v>1984</v>
      </c>
      <c r="D157" s="103" t="s">
        <v>104</v>
      </c>
      <c r="E157" s="99" t="s">
        <v>20</v>
      </c>
      <c r="F157" s="98">
        <v>1984</v>
      </c>
      <c r="G157" s="98" t="s">
        <v>107</v>
      </c>
      <c r="H157" s="98" t="s">
        <v>38</v>
      </c>
      <c r="I157" s="98"/>
      <c r="J157" s="98" t="s">
        <v>1015</v>
      </c>
      <c r="K157" s="98" t="s">
        <v>1157</v>
      </c>
      <c r="L157" s="98" t="s">
        <v>108</v>
      </c>
      <c r="M157" s="98" t="s">
        <v>109</v>
      </c>
      <c r="N157" s="98" t="s">
        <v>110</v>
      </c>
      <c r="O157" s="98">
        <v>74</v>
      </c>
      <c r="P157" s="98"/>
      <c r="Q157" s="98"/>
      <c r="R157" s="98"/>
      <c r="S157" s="98"/>
      <c r="T157" s="98"/>
      <c r="U157" s="98"/>
      <c r="V157" s="98"/>
      <c r="W157" s="98"/>
      <c r="X157" s="101" t="str">
        <f t="shared" si="7"/>
        <v/>
      </c>
      <c r="Y157" s="122">
        <v>193.6</v>
      </c>
      <c r="Z157" s="106" t="str">
        <f t="shared" si="8"/>
        <v/>
      </c>
      <c r="AA157" s="101"/>
      <c r="AB157" s="101"/>
      <c r="AC157" s="101"/>
      <c r="AD157" s="174"/>
      <c r="AE157" s="174"/>
      <c r="AF157" s="174"/>
      <c r="AG157" s="174"/>
      <c r="AH157" s="174"/>
      <c r="AI157" s="174"/>
      <c r="AJ157" s="174"/>
      <c r="AK157" s="174"/>
      <c r="AL157" s="174"/>
    </row>
    <row r="158" spans="1:38" s="107" customFormat="1">
      <c r="A158" s="97">
        <v>42</v>
      </c>
      <c r="B158" s="103" t="s">
        <v>103</v>
      </c>
      <c r="C158" s="103">
        <v>1984</v>
      </c>
      <c r="D158" s="103" t="s">
        <v>104</v>
      </c>
      <c r="E158" s="99" t="s">
        <v>20</v>
      </c>
      <c r="F158" s="98">
        <v>1984</v>
      </c>
      <c r="G158" s="98" t="s">
        <v>107</v>
      </c>
      <c r="H158" s="98" t="s">
        <v>38</v>
      </c>
      <c r="I158" s="98"/>
      <c r="J158" s="98" t="s">
        <v>1015</v>
      </c>
      <c r="K158" s="98" t="s">
        <v>1157</v>
      </c>
      <c r="L158" s="98" t="s">
        <v>108</v>
      </c>
      <c r="M158" s="98" t="s">
        <v>109</v>
      </c>
      <c r="N158" s="98" t="s">
        <v>110</v>
      </c>
      <c r="O158" s="98">
        <v>75</v>
      </c>
      <c r="P158" s="98"/>
      <c r="Q158" s="98"/>
      <c r="R158" s="98"/>
      <c r="S158" s="98"/>
      <c r="T158" s="98"/>
      <c r="U158" s="98"/>
      <c r="V158" s="98"/>
      <c r="W158" s="98"/>
      <c r="X158" s="101" t="str">
        <f t="shared" si="7"/>
        <v/>
      </c>
      <c r="Y158" s="122">
        <v>59.49</v>
      </c>
      <c r="Z158" s="106" t="str">
        <f t="shared" si="8"/>
        <v/>
      </c>
      <c r="AA158" s="101"/>
      <c r="AB158" s="101"/>
      <c r="AC158" s="101"/>
      <c r="AD158" s="174"/>
      <c r="AE158" s="174"/>
      <c r="AF158" s="174"/>
      <c r="AG158" s="174"/>
      <c r="AH158" s="174"/>
      <c r="AI158" s="174"/>
      <c r="AJ158" s="174"/>
      <c r="AK158" s="174"/>
      <c r="AL158" s="174"/>
    </row>
    <row r="159" spans="1:38" s="107" customFormat="1">
      <c r="A159" s="97">
        <v>130</v>
      </c>
      <c r="B159" s="103" t="s">
        <v>32</v>
      </c>
      <c r="C159" s="103">
        <v>1982</v>
      </c>
      <c r="D159" s="103" t="s">
        <v>470</v>
      </c>
      <c r="E159" s="99" t="s">
        <v>20</v>
      </c>
      <c r="F159" s="103">
        <v>1982</v>
      </c>
      <c r="G159" s="98"/>
      <c r="H159" s="98" t="s">
        <v>38</v>
      </c>
      <c r="I159" s="98"/>
      <c r="J159" s="98" t="s">
        <v>1015</v>
      </c>
      <c r="K159" s="98" t="s">
        <v>1157</v>
      </c>
      <c r="L159" s="98" t="s">
        <v>473</v>
      </c>
      <c r="M159" s="98" t="s">
        <v>474</v>
      </c>
      <c r="N159" s="98"/>
      <c r="O159" s="98" t="s">
        <v>484</v>
      </c>
      <c r="P159" s="98"/>
      <c r="Q159" s="98"/>
      <c r="R159" s="98"/>
      <c r="S159" s="98"/>
      <c r="T159" s="98"/>
      <c r="U159" s="98"/>
      <c r="V159" s="98"/>
      <c r="W159" s="98"/>
      <c r="X159" s="101" t="str">
        <f t="shared" si="7"/>
        <v/>
      </c>
      <c r="Y159" s="122">
        <v>84</v>
      </c>
      <c r="Z159" s="106" t="str">
        <f t="shared" si="8"/>
        <v/>
      </c>
      <c r="AA159" s="101"/>
      <c r="AB159" s="101"/>
      <c r="AC159" s="101"/>
      <c r="AD159" s="174"/>
      <c r="AE159" s="174"/>
      <c r="AF159" s="174"/>
      <c r="AG159" s="174"/>
      <c r="AH159" s="174"/>
      <c r="AI159" s="174"/>
      <c r="AJ159" s="174"/>
      <c r="AK159" s="174"/>
      <c r="AL159" s="174"/>
    </row>
    <row r="160" spans="1:38" s="107" customFormat="1">
      <c r="A160" s="97">
        <v>130</v>
      </c>
      <c r="B160" s="103" t="s">
        <v>32</v>
      </c>
      <c r="C160" s="103">
        <v>1982</v>
      </c>
      <c r="D160" s="103" t="s">
        <v>470</v>
      </c>
      <c r="E160" s="99" t="s">
        <v>20</v>
      </c>
      <c r="F160" s="103">
        <v>1982</v>
      </c>
      <c r="G160" s="98"/>
      <c r="H160" s="98" t="s">
        <v>38</v>
      </c>
      <c r="I160" s="98"/>
      <c r="J160" s="98" t="s">
        <v>1015</v>
      </c>
      <c r="K160" s="98" t="s">
        <v>1157</v>
      </c>
      <c r="L160" s="98" t="s">
        <v>473</v>
      </c>
      <c r="M160" s="98" t="s">
        <v>474</v>
      </c>
      <c r="N160" s="98"/>
      <c r="O160" s="98" t="s">
        <v>485</v>
      </c>
      <c r="P160" s="98"/>
      <c r="Q160" s="98"/>
      <c r="R160" s="98"/>
      <c r="S160" s="98"/>
      <c r="T160" s="98"/>
      <c r="U160" s="98"/>
      <c r="V160" s="98"/>
      <c r="W160" s="98"/>
      <c r="X160" s="101" t="str">
        <f t="shared" si="7"/>
        <v/>
      </c>
      <c r="Y160" s="122">
        <v>79</v>
      </c>
      <c r="Z160" s="106" t="str">
        <f t="shared" si="8"/>
        <v/>
      </c>
      <c r="AA160" s="101"/>
      <c r="AB160" s="101"/>
      <c r="AC160" s="101"/>
      <c r="AD160" s="174"/>
      <c r="AE160" s="174"/>
      <c r="AF160" s="174"/>
      <c r="AG160" s="174"/>
      <c r="AH160" s="174"/>
      <c r="AI160" s="174"/>
      <c r="AJ160" s="174"/>
      <c r="AK160" s="174"/>
      <c r="AL160" s="174"/>
    </row>
    <row r="161" spans="1:38" s="107" customFormat="1">
      <c r="A161" s="97">
        <v>130</v>
      </c>
      <c r="B161" s="103" t="s">
        <v>32</v>
      </c>
      <c r="C161" s="103">
        <v>1982</v>
      </c>
      <c r="D161" s="103" t="s">
        <v>470</v>
      </c>
      <c r="E161" s="99" t="s">
        <v>20</v>
      </c>
      <c r="F161" s="103">
        <v>1982</v>
      </c>
      <c r="G161" s="98"/>
      <c r="H161" s="98" t="s">
        <v>38</v>
      </c>
      <c r="I161" s="98"/>
      <c r="J161" s="98" t="s">
        <v>1015</v>
      </c>
      <c r="K161" s="98" t="s">
        <v>1157</v>
      </c>
      <c r="L161" s="98" t="s">
        <v>473</v>
      </c>
      <c r="M161" s="98" t="s">
        <v>474</v>
      </c>
      <c r="N161" s="98"/>
      <c r="O161" s="98" t="s">
        <v>486</v>
      </c>
      <c r="P161" s="98"/>
      <c r="Q161" s="98"/>
      <c r="R161" s="98"/>
      <c r="S161" s="98"/>
      <c r="T161" s="98"/>
      <c r="U161" s="98"/>
      <c r="V161" s="98"/>
      <c r="W161" s="98"/>
      <c r="X161" s="101" t="str">
        <f t="shared" si="7"/>
        <v/>
      </c>
      <c r="Y161" s="122">
        <v>86</v>
      </c>
      <c r="Z161" s="106" t="str">
        <f t="shared" si="8"/>
        <v/>
      </c>
      <c r="AA161" s="101"/>
      <c r="AB161" s="101"/>
      <c r="AC161" s="101"/>
      <c r="AD161" s="174"/>
      <c r="AE161" s="174"/>
      <c r="AF161" s="174"/>
      <c r="AG161" s="174"/>
      <c r="AH161" s="174"/>
      <c r="AI161" s="174"/>
      <c r="AJ161" s="174"/>
      <c r="AK161" s="174"/>
      <c r="AL161" s="174"/>
    </row>
    <row r="162" spans="1:38" s="107" customFormat="1">
      <c r="A162" s="97">
        <v>130</v>
      </c>
      <c r="B162" s="103" t="s">
        <v>32</v>
      </c>
      <c r="C162" s="103">
        <v>1982</v>
      </c>
      <c r="D162" s="103" t="s">
        <v>470</v>
      </c>
      <c r="E162" s="99" t="s">
        <v>20</v>
      </c>
      <c r="F162" s="103">
        <v>1982</v>
      </c>
      <c r="G162" s="98"/>
      <c r="H162" s="98" t="s">
        <v>38</v>
      </c>
      <c r="I162" s="98"/>
      <c r="J162" s="98" t="s">
        <v>1015</v>
      </c>
      <c r="K162" s="98" t="s">
        <v>1157</v>
      </c>
      <c r="L162" s="98" t="s">
        <v>473</v>
      </c>
      <c r="M162" s="98" t="s">
        <v>474</v>
      </c>
      <c r="N162" s="98"/>
      <c r="O162" s="98" t="s">
        <v>487</v>
      </c>
      <c r="P162" s="98"/>
      <c r="Q162" s="98"/>
      <c r="R162" s="98"/>
      <c r="S162" s="98"/>
      <c r="T162" s="98"/>
      <c r="U162" s="98"/>
      <c r="V162" s="98"/>
      <c r="W162" s="98"/>
      <c r="X162" s="101" t="str">
        <f t="shared" si="7"/>
        <v/>
      </c>
      <c r="Y162" s="122">
        <v>124</v>
      </c>
      <c r="Z162" s="106" t="str">
        <f t="shared" si="8"/>
        <v/>
      </c>
      <c r="AA162" s="101"/>
      <c r="AB162" s="101"/>
      <c r="AC162" s="101"/>
      <c r="AD162" s="174"/>
      <c r="AE162" s="174"/>
      <c r="AF162" s="174"/>
      <c r="AG162" s="174"/>
      <c r="AH162" s="174"/>
      <c r="AI162" s="174"/>
      <c r="AJ162" s="174"/>
      <c r="AK162" s="174"/>
      <c r="AL162" s="174"/>
    </row>
    <row r="163" spans="1:38" s="107" customFormat="1">
      <c r="A163" s="97">
        <v>130</v>
      </c>
      <c r="B163" s="103" t="s">
        <v>32</v>
      </c>
      <c r="C163" s="103">
        <v>1982</v>
      </c>
      <c r="D163" s="103" t="s">
        <v>470</v>
      </c>
      <c r="E163" s="99" t="s">
        <v>20</v>
      </c>
      <c r="F163" s="103">
        <v>1982</v>
      </c>
      <c r="G163" s="98"/>
      <c r="H163" s="98" t="s">
        <v>38</v>
      </c>
      <c r="I163" s="98"/>
      <c r="J163" s="98" t="s">
        <v>1015</v>
      </c>
      <c r="K163" s="98" t="s">
        <v>1157</v>
      </c>
      <c r="L163" s="98" t="s">
        <v>473</v>
      </c>
      <c r="M163" s="98" t="s">
        <v>474</v>
      </c>
      <c r="N163" s="98"/>
      <c r="O163" s="98" t="s">
        <v>488</v>
      </c>
      <c r="P163" s="98"/>
      <c r="Q163" s="98"/>
      <c r="R163" s="98"/>
      <c r="S163" s="98"/>
      <c r="T163" s="98"/>
      <c r="U163" s="98"/>
      <c r="V163" s="98"/>
      <c r="W163" s="98"/>
      <c r="X163" s="101" t="str">
        <f t="shared" si="7"/>
        <v/>
      </c>
      <c r="Y163" s="122">
        <v>88</v>
      </c>
      <c r="Z163" s="106" t="str">
        <f t="shared" si="8"/>
        <v/>
      </c>
      <c r="AA163" s="101"/>
      <c r="AB163" s="101"/>
      <c r="AC163" s="101"/>
      <c r="AD163" s="174"/>
      <c r="AE163" s="174"/>
      <c r="AF163" s="174"/>
      <c r="AG163" s="174"/>
      <c r="AH163" s="174"/>
      <c r="AI163" s="174"/>
      <c r="AJ163" s="174"/>
      <c r="AK163" s="174"/>
      <c r="AL163" s="174"/>
    </row>
    <row r="164" spans="1:38" s="107" customFormat="1">
      <c r="A164" s="97">
        <v>130</v>
      </c>
      <c r="B164" s="103" t="s">
        <v>32</v>
      </c>
      <c r="C164" s="103">
        <v>1982</v>
      </c>
      <c r="D164" s="103" t="s">
        <v>470</v>
      </c>
      <c r="E164" s="99" t="s">
        <v>20</v>
      </c>
      <c r="F164" s="103">
        <v>1982</v>
      </c>
      <c r="G164" s="98"/>
      <c r="H164" s="98" t="s">
        <v>38</v>
      </c>
      <c r="I164" s="98"/>
      <c r="J164" s="98" t="s">
        <v>1015</v>
      </c>
      <c r="K164" s="98" t="s">
        <v>1157</v>
      </c>
      <c r="L164" s="98" t="s">
        <v>473</v>
      </c>
      <c r="M164" s="98" t="s">
        <v>474</v>
      </c>
      <c r="N164" s="98"/>
      <c r="O164" s="98" t="s">
        <v>489</v>
      </c>
      <c r="P164" s="98"/>
      <c r="Q164" s="98"/>
      <c r="R164" s="98"/>
      <c r="S164" s="98"/>
      <c r="T164" s="98"/>
      <c r="U164" s="98"/>
      <c r="V164" s="98"/>
      <c r="W164" s="98"/>
      <c r="X164" s="101" t="str">
        <f t="shared" si="7"/>
        <v/>
      </c>
      <c r="Y164" s="122">
        <v>121</v>
      </c>
      <c r="Z164" s="106" t="str">
        <f t="shared" si="8"/>
        <v/>
      </c>
      <c r="AA164" s="101"/>
      <c r="AB164" s="101"/>
      <c r="AC164" s="101"/>
      <c r="AD164" s="174"/>
      <c r="AE164" s="174"/>
      <c r="AF164" s="174"/>
      <c r="AG164" s="174"/>
      <c r="AH164" s="174"/>
      <c r="AI164" s="174"/>
      <c r="AJ164" s="174"/>
      <c r="AK164" s="174"/>
      <c r="AL164" s="174"/>
    </row>
    <row r="165" spans="1:38" s="107" customFormat="1">
      <c r="A165" s="97">
        <v>130</v>
      </c>
      <c r="B165" s="103" t="s">
        <v>32</v>
      </c>
      <c r="C165" s="103">
        <v>1982</v>
      </c>
      <c r="D165" s="103" t="s">
        <v>470</v>
      </c>
      <c r="E165" s="99" t="s">
        <v>20</v>
      </c>
      <c r="F165" s="103">
        <v>1982</v>
      </c>
      <c r="G165" s="98"/>
      <c r="H165" s="98" t="s">
        <v>38</v>
      </c>
      <c r="I165" s="98"/>
      <c r="J165" s="98" t="s">
        <v>1015</v>
      </c>
      <c r="K165" s="98" t="s">
        <v>1157</v>
      </c>
      <c r="L165" s="98" t="s">
        <v>473</v>
      </c>
      <c r="M165" s="98" t="s">
        <v>474</v>
      </c>
      <c r="N165" s="98"/>
      <c r="O165" s="98" t="s">
        <v>490</v>
      </c>
      <c r="P165" s="98"/>
      <c r="Q165" s="98"/>
      <c r="R165" s="98"/>
      <c r="S165" s="98"/>
      <c r="T165" s="98"/>
      <c r="U165" s="98"/>
      <c r="V165" s="98"/>
      <c r="W165" s="98"/>
      <c r="X165" s="101" t="str">
        <f t="shared" si="7"/>
        <v/>
      </c>
      <c r="Y165" s="122">
        <v>70</v>
      </c>
      <c r="Z165" s="106" t="str">
        <f t="shared" si="8"/>
        <v/>
      </c>
      <c r="AA165" s="101"/>
      <c r="AB165" s="101"/>
      <c r="AC165" s="101"/>
      <c r="AD165" s="174"/>
      <c r="AE165" s="174"/>
      <c r="AF165" s="174"/>
      <c r="AG165" s="174"/>
      <c r="AH165" s="174"/>
      <c r="AI165" s="174"/>
      <c r="AJ165" s="174"/>
      <c r="AK165" s="174"/>
      <c r="AL165" s="174"/>
    </row>
    <row r="166" spans="1:38" s="107" customFormat="1">
      <c r="A166" s="97">
        <v>130</v>
      </c>
      <c r="B166" s="103" t="s">
        <v>32</v>
      </c>
      <c r="C166" s="103">
        <v>1982</v>
      </c>
      <c r="D166" s="103" t="s">
        <v>470</v>
      </c>
      <c r="E166" s="99" t="s">
        <v>20</v>
      </c>
      <c r="F166" s="103">
        <v>1982</v>
      </c>
      <c r="G166" s="98"/>
      <c r="H166" s="98" t="s">
        <v>38</v>
      </c>
      <c r="I166" s="98"/>
      <c r="J166" s="98" t="s">
        <v>1015</v>
      </c>
      <c r="K166" s="98" t="s">
        <v>1157</v>
      </c>
      <c r="L166" s="98" t="s">
        <v>473</v>
      </c>
      <c r="M166" s="98" t="s">
        <v>474</v>
      </c>
      <c r="N166" s="98"/>
      <c r="O166" s="98" t="s">
        <v>491</v>
      </c>
      <c r="P166" s="98"/>
      <c r="Q166" s="98"/>
      <c r="R166" s="98"/>
      <c r="S166" s="98"/>
      <c r="T166" s="98"/>
      <c r="U166" s="98"/>
      <c r="V166" s="98"/>
      <c r="W166" s="98"/>
      <c r="X166" s="101" t="str">
        <f t="shared" si="7"/>
        <v/>
      </c>
      <c r="Y166" s="122">
        <v>83</v>
      </c>
      <c r="Z166" s="106" t="str">
        <f t="shared" si="8"/>
        <v/>
      </c>
      <c r="AA166" s="101"/>
      <c r="AB166" s="101"/>
      <c r="AC166" s="101"/>
      <c r="AD166" s="174"/>
      <c r="AE166" s="174"/>
      <c r="AF166" s="174"/>
      <c r="AG166" s="174"/>
      <c r="AH166" s="174"/>
      <c r="AI166" s="174"/>
      <c r="AJ166" s="174"/>
      <c r="AK166" s="174"/>
      <c r="AL166" s="174"/>
    </row>
    <row r="167" spans="1:38" s="107" customFormat="1">
      <c r="A167" s="97">
        <v>130</v>
      </c>
      <c r="B167" s="103" t="s">
        <v>32</v>
      </c>
      <c r="C167" s="103">
        <v>1982</v>
      </c>
      <c r="D167" s="103" t="s">
        <v>470</v>
      </c>
      <c r="E167" s="99" t="s">
        <v>20</v>
      </c>
      <c r="F167" s="103">
        <v>1982</v>
      </c>
      <c r="G167" s="98"/>
      <c r="H167" s="98" t="s">
        <v>38</v>
      </c>
      <c r="I167" s="98"/>
      <c r="J167" s="98" t="s">
        <v>1015</v>
      </c>
      <c r="K167" s="98" t="s">
        <v>1157</v>
      </c>
      <c r="L167" s="98" t="s">
        <v>473</v>
      </c>
      <c r="M167" s="98" t="s">
        <v>474</v>
      </c>
      <c r="N167" s="98"/>
      <c r="O167" s="98" t="s">
        <v>492</v>
      </c>
      <c r="P167" s="98"/>
      <c r="Q167" s="98"/>
      <c r="R167" s="98"/>
      <c r="S167" s="98"/>
      <c r="T167" s="98"/>
      <c r="U167" s="98"/>
      <c r="V167" s="98"/>
      <c r="W167" s="98"/>
      <c r="X167" s="101" t="str">
        <f t="shared" si="7"/>
        <v/>
      </c>
      <c r="Y167" s="122">
        <v>107</v>
      </c>
      <c r="Z167" s="106" t="str">
        <f t="shared" si="8"/>
        <v/>
      </c>
      <c r="AA167" s="101"/>
      <c r="AB167" s="101"/>
      <c r="AC167" s="101"/>
      <c r="AD167" s="174"/>
      <c r="AE167" s="174"/>
      <c r="AF167" s="174"/>
      <c r="AG167" s="174"/>
      <c r="AH167" s="174"/>
      <c r="AI167" s="174"/>
      <c r="AJ167" s="174"/>
      <c r="AK167" s="174"/>
      <c r="AL167" s="174"/>
    </row>
    <row r="168" spans="1:38" s="107" customFormat="1">
      <c r="A168" s="97">
        <v>130</v>
      </c>
      <c r="B168" s="103" t="s">
        <v>32</v>
      </c>
      <c r="C168" s="103">
        <v>1982</v>
      </c>
      <c r="D168" s="103" t="s">
        <v>470</v>
      </c>
      <c r="E168" s="99" t="s">
        <v>20</v>
      </c>
      <c r="F168" s="103">
        <v>1982</v>
      </c>
      <c r="G168" s="98"/>
      <c r="H168" s="98" t="s">
        <v>38</v>
      </c>
      <c r="I168" s="98"/>
      <c r="J168" s="98" t="s">
        <v>1015</v>
      </c>
      <c r="K168" s="98" t="s">
        <v>1157</v>
      </c>
      <c r="L168" s="98" t="s">
        <v>473</v>
      </c>
      <c r="M168" s="98" t="s">
        <v>474</v>
      </c>
      <c r="N168" s="98"/>
      <c r="O168" s="98" t="s">
        <v>475</v>
      </c>
      <c r="P168" s="98"/>
      <c r="Q168" s="98"/>
      <c r="R168" s="98"/>
      <c r="S168" s="98"/>
      <c r="T168" s="98"/>
      <c r="U168" s="98"/>
      <c r="V168" s="98"/>
      <c r="W168" s="98"/>
      <c r="X168" s="101" t="str">
        <f t="shared" si="7"/>
        <v/>
      </c>
      <c r="Y168" s="122">
        <v>141</v>
      </c>
      <c r="Z168" s="106" t="str">
        <f t="shared" si="8"/>
        <v/>
      </c>
      <c r="AA168" s="101"/>
      <c r="AB168" s="101"/>
      <c r="AC168" s="101"/>
      <c r="AD168" s="174"/>
      <c r="AE168" s="174"/>
      <c r="AF168" s="174"/>
      <c r="AG168" s="174"/>
      <c r="AH168" s="174"/>
      <c r="AI168" s="174"/>
      <c r="AJ168" s="174"/>
      <c r="AK168" s="174"/>
      <c r="AL168" s="174"/>
    </row>
    <row r="169" spans="1:38" s="107" customFormat="1">
      <c r="A169" s="97">
        <v>130</v>
      </c>
      <c r="B169" s="103" t="s">
        <v>32</v>
      </c>
      <c r="C169" s="103">
        <v>1982</v>
      </c>
      <c r="D169" s="103" t="s">
        <v>470</v>
      </c>
      <c r="E169" s="99" t="s">
        <v>20</v>
      </c>
      <c r="F169" s="103">
        <v>1982</v>
      </c>
      <c r="G169" s="98"/>
      <c r="H169" s="98" t="s">
        <v>38</v>
      </c>
      <c r="I169" s="98"/>
      <c r="J169" s="98" t="s">
        <v>1015</v>
      </c>
      <c r="K169" s="98" t="s">
        <v>1157</v>
      </c>
      <c r="L169" s="98" t="s">
        <v>473</v>
      </c>
      <c r="M169" s="98" t="s">
        <v>474</v>
      </c>
      <c r="N169" s="98"/>
      <c r="O169" s="98" t="s">
        <v>476</v>
      </c>
      <c r="P169" s="98"/>
      <c r="Q169" s="98"/>
      <c r="R169" s="98"/>
      <c r="S169" s="98"/>
      <c r="T169" s="98"/>
      <c r="U169" s="98"/>
      <c r="V169" s="98"/>
      <c r="W169" s="98"/>
      <c r="X169" s="101" t="str">
        <f t="shared" si="7"/>
        <v/>
      </c>
      <c r="Y169" s="122">
        <v>123</v>
      </c>
      <c r="Z169" s="106" t="str">
        <f t="shared" si="8"/>
        <v/>
      </c>
      <c r="AA169" s="101"/>
      <c r="AB169" s="101"/>
      <c r="AC169" s="101"/>
      <c r="AD169" s="174"/>
      <c r="AE169" s="174"/>
      <c r="AF169" s="174"/>
      <c r="AG169" s="174"/>
      <c r="AH169" s="174"/>
      <c r="AI169" s="174"/>
      <c r="AJ169" s="174"/>
      <c r="AK169" s="174"/>
      <c r="AL169" s="174"/>
    </row>
    <row r="170" spans="1:38" s="107" customFormat="1">
      <c r="A170" s="97">
        <v>130</v>
      </c>
      <c r="B170" s="103" t="s">
        <v>32</v>
      </c>
      <c r="C170" s="103">
        <v>1982</v>
      </c>
      <c r="D170" s="103" t="s">
        <v>470</v>
      </c>
      <c r="E170" s="99" t="s">
        <v>20</v>
      </c>
      <c r="F170" s="103">
        <v>1982</v>
      </c>
      <c r="G170" s="98"/>
      <c r="H170" s="98" t="s">
        <v>38</v>
      </c>
      <c r="I170" s="98"/>
      <c r="J170" s="98" t="s">
        <v>1015</v>
      </c>
      <c r="K170" s="98" t="s">
        <v>1157</v>
      </c>
      <c r="L170" s="98" t="s">
        <v>473</v>
      </c>
      <c r="M170" s="98" t="s">
        <v>474</v>
      </c>
      <c r="N170" s="98"/>
      <c r="O170" s="98" t="s">
        <v>477</v>
      </c>
      <c r="P170" s="98"/>
      <c r="Q170" s="98"/>
      <c r="R170" s="98"/>
      <c r="S170" s="98"/>
      <c r="T170" s="98"/>
      <c r="U170" s="98"/>
      <c r="V170" s="98"/>
      <c r="W170" s="98"/>
      <c r="X170" s="101" t="str">
        <f t="shared" si="7"/>
        <v/>
      </c>
      <c r="Y170" s="122">
        <v>92</v>
      </c>
      <c r="Z170" s="106" t="str">
        <f t="shared" si="8"/>
        <v/>
      </c>
      <c r="AA170" s="101"/>
      <c r="AB170" s="101"/>
      <c r="AC170" s="101"/>
      <c r="AD170" s="174"/>
      <c r="AE170" s="174"/>
      <c r="AF170" s="174"/>
      <c r="AG170" s="174"/>
      <c r="AH170" s="174"/>
      <c r="AI170" s="174"/>
      <c r="AJ170" s="174"/>
      <c r="AK170" s="174"/>
      <c r="AL170" s="174"/>
    </row>
    <row r="171" spans="1:38" s="107" customFormat="1">
      <c r="A171" s="97">
        <v>130</v>
      </c>
      <c r="B171" s="103" t="s">
        <v>32</v>
      </c>
      <c r="C171" s="103">
        <v>1982</v>
      </c>
      <c r="D171" s="103" t="s">
        <v>470</v>
      </c>
      <c r="E171" s="99" t="s">
        <v>20</v>
      </c>
      <c r="F171" s="103">
        <v>1982</v>
      </c>
      <c r="G171" s="98"/>
      <c r="H171" s="98" t="s">
        <v>38</v>
      </c>
      <c r="I171" s="98"/>
      <c r="J171" s="98" t="s">
        <v>1015</v>
      </c>
      <c r="K171" s="98" t="s">
        <v>1157</v>
      </c>
      <c r="L171" s="98" t="s">
        <v>473</v>
      </c>
      <c r="M171" s="98" t="s">
        <v>474</v>
      </c>
      <c r="N171" s="98"/>
      <c r="O171" s="98" t="s">
        <v>478</v>
      </c>
      <c r="P171" s="98"/>
      <c r="Q171" s="98"/>
      <c r="R171" s="98"/>
      <c r="S171" s="98"/>
      <c r="T171" s="98"/>
      <c r="U171" s="98"/>
      <c r="V171" s="98"/>
      <c r="W171" s="98"/>
      <c r="X171" s="101" t="str">
        <f t="shared" si="7"/>
        <v/>
      </c>
      <c r="Y171" s="122">
        <v>58</v>
      </c>
      <c r="Z171" s="106" t="str">
        <f t="shared" si="8"/>
        <v/>
      </c>
      <c r="AA171" s="101"/>
      <c r="AB171" s="101"/>
      <c r="AC171" s="101"/>
      <c r="AD171" s="174"/>
      <c r="AE171" s="174"/>
      <c r="AF171" s="174"/>
      <c r="AG171" s="174"/>
      <c r="AH171" s="174"/>
      <c r="AI171" s="174"/>
      <c r="AJ171" s="174"/>
      <c r="AK171" s="174"/>
      <c r="AL171" s="174"/>
    </row>
    <row r="172" spans="1:38" s="107" customFormat="1">
      <c r="A172" s="97">
        <v>130</v>
      </c>
      <c r="B172" s="103" t="s">
        <v>32</v>
      </c>
      <c r="C172" s="103">
        <v>1982</v>
      </c>
      <c r="D172" s="103" t="s">
        <v>470</v>
      </c>
      <c r="E172" s="99" t="s">
        <v>20</v>
      </c>
      <c r="F172" s="103">
        <v>1982</v>
      </c>
      <c r="G172" s="98"/>
      <c r="H172" s="98" t="s">
        <v>38</v>
      </c>
      <c r="I172" s="98"/>
      <c r="J172" s="98" t="s">
        <v>1015</v>
      </c>
      <c r="K172" s="98" t="s">
        <v>1157</v>
      </c>
      <c r="L172" s="98" t="s">
        <v>473</v>
      </c>
      <c r="M172" s="98" t="s">
        <v>474</v>
      </c>
      <c r="N172" s="98"/>
      <c r="O172" s="98" t="s">
        <v>479</v>
      </c>
      <c r="P172" s="98"/>
      <c r="Q172" s="98"/>
      <c r="R172" s="98"/>
      <c r="S172" s="98"/>
      <c r="T172" s="98"/>
      <c r="U172" s="98"/>
      <c r="V172" s="98"/>
      <c r="W172" s="98"/>
      <c r="X172" s="101" t="str">
        <f t="shared" si="7"/>
        <v/>
      </c>
      <c r="Y172" s="122">
        <v>143</v>
      </c>
      <c r="Z172" s="106" t="str">
        <f t="shared" si="8"/>
        <v/>
      </c>
      <c r="AA172" s="101"/>
      <c r="AB172" s="101"/>
      <c r="AC172" s="101"/>
      <c r="AD172" s="174"/>
      <c r="AE172" s="174"/>
      <c r="AF172" s="174"/>
      <c r="AG172" s="174"/>
      <c r="AH172" s="174"/>
      <c r="AI172" s="174"/>
      <c r="AJ172" s="174"/>
      <c r="AK172" s="174"/>
      <c r="AL172" s="174"/>
    </row>
    <row r="173" spans="1:38" s="107" customFormat="1">
      <c r="A173" s="97">
        <v>130</v>
      </c>
      <c r="B173" s="103" t="s">
        <v>32</v>
      </c>
      <c r="C173" s="103">
        <v>1982</v>
      </c>
      <c r="D173" s="103" t="s">
        <v>470</v>
      </c>
      <c r="E173" s="99" t="s">
        <v>20</v>
      </c>
      <c r="F173" s="103">
        <v>1982</v>
      </c>
      <c r="G173" s="98"/>
      <c r="H173" s="98" t="s">
        <v>38</v>
      </c>
      <c r="I173" s="98"/>
      <c r="J173" s="98" t="s">
        <v>1015</v>
      </c>
      <c r="K173" s="98" t="s">
        <v>1157</v>
      </c>
      <c r="L173" s="98" t="s">
        <v>473</v>
      </c>
      <c r="M173" s="98" t="s">
        <v>474</v>
      </c>
      <c r="N173" s="98"/>
      <c r="O173" s="98" t="s">
        <v>480</v>
      </c>
      <c r="P173" s="98"/>
      <c r="Q173" s="98"/>
      <c r="R173" s="98"/>
      <c r="S173" s="98"/>
      <c r="T173" s="98"/>
      <c r="U173" s="98"/>
      <c r="V173" s="98"/>
      <c r="W173" s="98"/>
      <c r="X173" s="101" t="str">
        <f t="shared" si="7"/>
        <v/>
      </c>
      <c r="Y173" s="122">
        <v>110</v>
      </c>
      <c r="Z173" s="106" t="str">
        <f t="shared" si="8"/>
        <v/>
      </c>
      <c r="AA173" s="101"/>
      <c r="AB173" s="101"/>
      <c r="AC173" s="101"/>
      <c r="AD173" s="174"/>
      <c r="AE173" s="174"/>
      <c r="AF173" s="174"/>
      <c r="AG173" s="174"/>
      <c r="AH173" s="174"/>
      <c r="AI173" s="174"/>
      <c r="AJ173" s="174"/>
      <c r="AK173" s="174"/>
      <c r="AL173" s="174"/>
    </row>
    <row r="174" spans="1:38" s="107" customFormat="1">
      <c r="A174" s="97">
        <v>130</v>
      </c>
      <c r="B174" s="103" t="s">
        <v>32</v>
      </c>
      <c r="C174" s="103">
        <v>1982</v>
      </c>
      <c r="D174" s="103" t="s">
        <v>470</v>
      </c>
      <c r="E174" s="99" t="s">
        <v>20</v>
      </c>
      <c r="F174" s="103">
        <v>1982</v>
      </c>
      <c r="G174" s="98"/>
      <c r="H174" s="98" t="s">
        <v>38</v>
      </c>
      <c r="I174" s="98"/>
      <c r="J174" s="98" t="s">
        <v>1015</v>
      </c>
      <c r="K174" s="98" t="s">
        <v>1157</v>
      </c>
      <c r="L174" s="98" t="s">
        <v>473</v>
      </c>
      <c r="M174" s="98" t="s">
        <v>474</v>
      </c>
      <c r="N174" s="98"/>
      <c r="O174" s="98" t="s">
        <v>481</v>
      </c>
      <c r="P174" s="98"/>
      <c r="Q174" s="98"/>
      <c r="R174" s="98"/>
      <c r="S174" s="98"/>
      <c r="T174" s="98"/>
      <c r="U174" s="98"/>
      <c r="V174" s="98"/>
      <c r="W174" s="98"/>
      <c r="X174" s="101" t="str">
        <f t="shared" si="7"/>
        <v/>
      </c>
      <c r="Y174" s="122">
        <v>58</v>
      </c>
      <c r="Z174" s="106" t="str">
        <f t="shared" si="8"/>
        <v/>
      </c>
      <c r="AA174" s="101"/>
      <c r="AB174" s="101"/>
      <c r="AC174" s="101"/>
      <c r="AD174" s="174"/>
      <c r="AE174" s="174"/>
      <c r="AF174" s="174"/>
      <c r="AG174" s="174"/>
      <c r="AH174" s="174"/>
      <c r="AI174" s="174"/>
      <c r="AJ174" s="174"/>
      <c r="AK174" s="174"/>
      <c r="AL174" s="174"/>
    </row>
    <row r="175" spans="1:38" s="107" customFormat="1">
      <c r="A175" s="97">
        <v>130</v>
      </c>
      <c r="B175" s="103" t="s">
        <v>32</v>
      </c>
      <c r="C175" s="103">
        <v>1982</v>
      </c>
      <c r="D175" s="103" t="s">
        <v>470</v>
      </c>
      <c r="E175" s="99" t="s">
        <v>20</v>
      </c>
      <c r="F175" s="103">
        <v>1982</v>
      </c>
      <c r="G175" s="98"/>
      <c r="H175" s="98" t="s">
        <v>38</v>
      </c>
      <c r="I175" s="98"/>
      <c r="J175" s="98" t="s">
        <v>1015</v>
      </c>
      <c r="K175" s="98" t="s">
        <v>1157</v>
      </c>
      <c r="L175" s="98" t="s">
        <v>473</v>
      </c>
      <c r="M175" s="98" t="s">
        <v>474</v>
      </c>
      <c r="N175" s="98"/>
      <c r="O175" s="98" t="s">
        <v>482</v>
      </c>
      <c r="P175" s="98"/>
      <c r="Q175" s="98"/>
      <c r="R175" s="98"/>
      <c r="S175" s="98"/>
      <c r="T175" s="98"/>
      <c r="U175" s="98"/>
      <c r="V175" s="98"/>
      <c r="W175" s="98"/>
      <c r="X175" s="101" t="str">
        <f t="shared" si="7"/>
        <v/>
      </c>
      <c r="Y175" s="122">
        <v>53</v>
      </c>
      <c r="Z175" s="106" t="str">
        <f t="shared" si="8"/>
        <v/>
      </c>
      <c r="AA175" s="101"/>
      <c r="AB175" s="101"/>
      <c r="AC175" s="101"/>
      <c r="AD175" s="174"/>
      <c r="AE175" s="174"/>
      <c r="AF175" s="174"/>
      <c r="AG175" s="174"/>
      <c r="AH175" s="174"/>
      <c r="AI175" s="174"/>
      <c r="AJ175" s="174"/>
      <c r="AK175" s="174"/>
      <c r="AL175" s="174"/>
    </row>
    <row r="176" spans="1:38" s="107" customFormat="1">
      <c r="A176" s="97">
        <v>130</v>
      </c>
      <c r="B176" s="103" t="s">
        <v>32</v>
      </c>
      <c r="C176" s="103">
        <v>1982</v>
      </c>
      <c r="D176" s="103" t="s">
        <v>470</v>
      </c>
      <c r="E176" s="99" t="s">
        <v>20</v>
      </c>
      <c r="F176" s="103">
        <v>1982</v>
      </c>
      <c r="G176" s="98"/>
      <c r="H176" s="98" t="s">
        <v>38</v>
      </c>
      <c r="I176" s="98"/>
      <c r="J176" s="98" t="s">
        <v>1015</v>
      </c>
      <c r="K176" s="98" t="s">
        <v>1157</v>
      </c>
      <c r="L176" s="98" t="s">
        <v>473</v>
      </c>
      <c r="M176" s="98" t="s">
        <v>474</v>
      </c>
      <c r="N176" s="98"/>
      <c r="O176" s="98" t="s">
        <v>483</v>
      </c>
      <c r="P176" s="98"/>
      <c r="Q176" s="98"/>
      <c r="R176" s="98"/>
      <c r="S176" s="98"/>
      <c r="T176" s="98"/>
      <c r="U176" s="98"/>
      <c r="V176" s="98"/>
      <c r="W176" s="98"/>
      <c r="X176" s="101" t="str">
        <f t="shared" si="7"/>
        <v/>
      </c>
      <c r="Y176" s="122">
        <v>68</v>
      </c>
      <c r="Z176" s="106" t="str">
        <f t="shared" si="8"/>
        <v/>
      </c>
      <c r="AA176" s="101"/>
      <c r="AB176" s="101"/>
      <c r="AC176" s="101"/>
      <c r="AD176" s="174"/>
      <c r="AE176" s="174"/>
      <c r="AF176" s="174"/>
      <c r="AG176" s="174"/>
      <c r="AH176" s="174"/>
      <c r="AI176" s="174"/>
      <c r="AJ176" s="174"/>
      <c r="AK176" s="174"/>
      <c r="AL176" s="174"/>
    </row>
    <row r="177" spans="1:38" s="107" customFormat="1">
      <c r="A177" s="97">
        <v>42</v>
      </c>
      <c r="B177" s="103" t="s">
        <v>103</v>
      </c>
      <c r="C177" s="103">
        <v>1984</v>
      </c>
      <c r="D177" s="103" t="s">
        <v>104</v>
      </c>
      <c r="E177" s="99" t="s">
        <v>20</v>
      </c>
      <c r="F177" s="98">
        <v>1984</v>
      </c>
      <c r="G177" s="98" t="s">
        <v>107</v>
      </c>
      <c r="H177" s="98" t="s">
        <v>38</v>
      </c>
      <c r="I177" s="98"/>
      <c r="J177" s="98" t="s">
        <v>1015</v>
      </c>
      <c r="K177" s="98" t="s">
        <v>1157</v>
      </c>
      <c r="L177" s="98" t="s">
        <v>108</v>
      </c>
      <c r="M177" s="98" t="s">
        <v>109</v>
      </c>
      <c r="N177" s="98" t="s">
        <v>110</v>
      </c>
      <c r="O177" s="98" t="s">
        <v>112</v>
      </c>
      <c r="P177" s="98"/>
      <c r="Q177" s="98"/>
      <c r="R177" s="98"/>
      <c r="S177" s="98"/>
      <c r="T177" s="98"/>
      <c r="U177" s="98"/>
      <c r="V177" s="98"/>
      <c r="W177" s="98"/>
      <c r="X177" s="101" t="str">
        <f t="shared" si="7"/>
        <v/>
      </c>
      <c r="Y177" s="122">
        <v>86</v>
      </c>
      <c r="Z177" s="106" t="str">
        <f t="shared" si="8"/>
        <v/>
      </c>
      <c r="AA177" s="101"/>
      <c r="AB177" s="101"/>
      <c r="AC177" s="101"/>
      <c r="AD177" s="174"/>
      <c r="AE177" s="174"/>
      <c r="AF177" s="174"/>
      <c r="AG177" s="174"/>
      <c r="AH177" s="174"/>
      <c r="AI177" s="174"/>
      <c r="AJ177" s="174"/>
      <c r="AK177" s="174"/>
      <c r="AL177" s="174"/>
    </row>
    <row r="178" spans="1:38" s="107" customFormat="1">
      <c r="A178" s="97">
        <v>42</v>
      </c>
      <c r="B178" s="103" t="s">
        <v>103</v>
      </c>
      <c r="C178" s="103">
        <v>1984</v>
      </c>
      <c r="D178" s="103" t="s">
        <v>104</v>
      </c>
      <c r="E178" s="99" t="s">
        <v>20</v>
      </c>
      <c r="F178" s="98">
        <v>1984</v>
      </c>
      <c r="G178" s="98" t="s">
        <v>107</v>
      </c>
      <c r="H178" s="98" t="s">
        <v>38</v>
      </c>
      <c r="I178" s="98"/>
      <c r="J178" s="98" t="s">
        <v>1015</v>
      </c>
      <c r="K178" s="98" t="s">
        <v>1157</v>
      </c>
      <c r="L178" s="98" t="s">
        <v>108</v>
      </c>
      <c r="M178" s="98" t="s">
        <v>109</v>
      </c>
      <c r="N178" s="98" t="s">
        <v>110</v>
      </c>
      <c r="O178" s="98" t="s">
        <v>111</v>
      </c>
      <c r="P178" s="98"/>
      <c r="Q178" s="98"/>
      <c r="R178" s="98"/>
      <c r="S178" s="98"/>
      <c r="T178" s="98"/>
      <c r="U178" s="98"/>
      <c r="V178" s="98"/>
      <c r="W178" s="98"/>
      <c r="X178" s="101" t="str">
        <f t="shared" si="7"/>
        <v/>
      </c>
      <c r="Y178" s="122">
        <v>143</v>
      </c>
      <c r="Z178" s="106" t="str">
        <f t="shared" si="8"/>
        <v/>
      </c>
      <c r="AA178" s="101"/>
      <c r="AB178" s="101"/>
      <c r="AC178" s="101"/>
      <c r="AD178" s="174"/>
      <c r="AE178" s="174"/>
      <c r="AF178" s="174"/>
      <c r="AG178" s="174"/>
      <c r="AH178" s="174"/>
      <c r="AI178" s="174"/>
      <c r="AJ178" s="174"/>
      <c r="AK178" s="174"/>
      <c r="AL178" s="174"/>
    </row>
    <row r="179" spans="1:38" s="107" customFormat="1">
      <c r="A179" s="97">
        <v>36</v>
      </c>
      <c r="B179" s="103" t="s">
        <v>45</v>
      </c>
      <c r="C179" s="103">
        <v>1982</v>
      </c>
      <c r="D179" s="103" t="s">
        <v>73</v>
      </c>
      <c r="E179" s="99" t="s">
        <v>20</v>
      </c>
      <c r="F179" s="98">
        <v>1982</v>
      </c>
      <c r="G179" s="98" t="s">
        <v>75</v>
      </c>
      <c r="H179" s="98"/>
      <c r="I179" s="98"/>
      <c r="J179" s="98" t="s">
        <v>1015</v>
      </c>
      <c r="K179" s="98" t="s">
        <v>1157</v>
      </c>
      <c r="L179" s="98" t="s">
        <v>82</v>
      </c>
      <c r="M179" s="98" t="s">
        <v>83</v>
      </c>
      <c r="N179" s="98"/>
      <c r="O179" s="98" t="s">
        <v>84</v>
      </c>
      <c r="P179" s="98"/>
      <c r="Q179" s="98"/>
      <c r="R179" s="98"/>
      <c r="S179" s="98"/>
      <c r="T179" s="98"/>
      <c r="U179" s="98"/>
      <c r="V179" s="98"/>
      <c r="W179" s="98"/>
      <c r="X179" s="101" t="str">
        <f t="shared" si="7"/>
        <v/>
      </c>
      <c r="Y179" s="122">
        <v>73.2</v>
      </c>
      <c r="Z179" s="106" t="str">
        <f t="shared" si="8"/>
        <v/>
      </c>
      <c r="AA179" s="101"/>
      <c r="AB179" s="101"/>
      <c r="AC179" s="101"/>
      <c r="AD179" s="174"/>
      <c r="AE179" s="174"/>
      <c r="AF179" s="174"/>
      <c r="AG179" s="174"/>
      <c r="AH179" s="174"/>
      <c r="AI179" s="174"/>
      <c r="AJ179" s="174"/>
      <c r="AK179" s="174"/>
      <c r="AL179" s="174"/>
    </row>
    <row r="180" spans="1:38" s="107" customFormat="1">
      <c r="A180" s="97">
        <v>36</v>
      </c>
      <c r="B180" s="103" t="s">
        <v>45</v>
      </c>
      <c r="C180" s="103">
        <v>1982</v>
      </c>
      <c r="D180" s="103" t="s">
        <v>73</v>
      </c>
      <c r="E180" s="99" t="s">
        <v>20</v>
      </c>
      <c r="F180" s="98">
        <v>1982</v>
      </c>
      <c r="G180" s="98" t="s">
        <v>75</v>
      </c>
      <c r="H180" s="98"/>
      <c r="I180" s="98"/>
      <c r="J180" s="98" t="s">
        <v>1015</v>
      </c>
      <c r="K180" s="98" t="s">
        <v>1157</v>
      </c>
      <c r="L180" s="98" t="s">
        <v>77</v>
      </c>
      <c r="M180" s="98" t="s">
        <v>78</v>
      </c>
      <c r="N180" s="98"/>
      <c r="O180" s="98" t="s">
        <v>79</v>
      </c>
      <c r="P180" s="98"/>
      <c r="Q180" s="98"/>
      <c r="R180" s="98"/>
      <c r="S180" s="98"/>
      <c r="T180" s="98"/>
      <c r="U180" s="98"/>
      <c r="V180" s="98"/>
      <c r="W180" s="98"/>
      <c r="X180" s="101" t="str">
        <f t="shared" si="7"/>
        <v/>
      </c>
      <c r="Y180" s="122">
        <v>53.3</v>
      </c>
      <c r="Z180" s="106" t="str">
        <f t="shared" si="8"/>
        <v/>
      </c>
      <c r="AA180" s="101"/>
      <c r="AB180" s="101"/>
      <c r="AC180" s="101"/>
      <c r="AD180" s="174"/>
      <c r="AE180" s="174"/>
      <c r="AF180" s="174"/>
      <c r="AG180" s="174"/>
      <c r="AH180" s="174"/>
      <c r="AI180" s="174"/>
      <c r="AJ180" s="174"/>
      <c r="AK180" s="174"/>
      <c r="AL180" s="174"/>
    </row>
    <row r="181" spans="1:38" s="107" customFormat="1">
      <c r="A181" s="97">
        <v>36</v>
      </c>
      <c r="B181" s="103" t="s">
        <v>45</v>
      </c>
      <c r="C181" s="103">
        <v>1982</v>
      </c>
      <c r="D181" s="103" t="s">
        <v>73</v>
      </c>
      <c r="E181" s="99" t="s">
        <v>20</v>
      </c>
      <c r="F181" s="98">
        <v>1982</v>
      </c>
      <c r="G181" s="98" t="s">
        <v>75</v>
      </c>
      <c r="H181" s="98"/>
      <c r="I181" s="98"/>
      <c r="J181" s="98" t="s">
        <v>1015</v>
      </c>
      <c r="K181" s="98" t="s">
        <v>1157</v>
      </c>
      <c r="L181" s="98" t="s">
        <v>80</v>
      </c>
      <c r="M181" s="98"/>
      <c r="N181" s="98"/>
      <c r="O181" s="98" t="s">
        <v>81</v>
      </c>
      <c r="P181" s="98"/>
      <c r="Q181" s="98"/>
      <c r="R181" s="98"/>
      <c r="S181" s="98"/>
      <c r="T181" s="98"/>
      <c r="U181" s="98"/>
      <c r="V181" s="98"/>
      <c r="W181" s="98"/>
      <c r="X181" s="101" t="str">
        <f t="shared" si="7"/>
        <v/>
      </c>
      <c r="Y181" s="122">
        <v>95.7</v>
      </c>
      <c r="Z181" s="106" t="str">
        <f t="shared" si="8"/>
        <v/>
      </c>
      <c r="AA181" s="101"/>
      <c r="AB181" s="101"/>
      <c r="AC181" s="101"/>
      <c r="AD181" s="174"/>
      <c r="AE181" s="174"/>
      <c r="AF181" s="174"/>
      <c r="AG181" s="174"/>
      <c r="AH181" s="174"/>
      <c r="AI181" s="174"/>
      <c r="AJ181" s="174"/>
      <c r="AK181" s="174"/>
      <c r="AL181" s="174"/>
    </row>
    <row r="182" spans="1:38" s="45" customFormat="1">
      <c r="A182" s="53">
        <v>173</v>
      </c>
      <c r="B182" s="54" t="s">
        <v>585</v>
      </c>
      <c r="C182" s="54">
        <v>2011</v>
      </c>
      <c r="D182" s="78" t="s">
        <v>636</v>
      </c>
      <c r="E182" s="56" t="s">
        <v>681</v>
      </c>
      <c r="F182" s="57" t="s">
        <v>682</v>
      </c>
      <c r="G182" s="54" t="s">
        <v>495</v>
      </c>
      <c r="H182" s="54" t="s">
        <v>41</v>
      </c>
      <c r="I182" s="54"/>
      <c r="J182" s="54" t="s">
        <v>1015</v>
      </c>
      <c r="K182" s="54" t="s">
        <v>1142</v>
      </c>
      <c r="L182" s="54" t="s">
        <v>683</v>
      </c>
      <c r="M182" s="59"/>
      <c r="N182" s="59"/>
      <c r="O182" s="54" t="s">
        <v>684</v>
      </c>
      <c r="P182" s="60"/>
      <c r="Q182" s="60"/>
      <c r="R182" s="54"/>
      <c r="S182" s="54"/>
      <c r="T182" s="54"/>
      <c r="U182" s="61">
        <v>0.75900000000000001</v>
      </c>
      <c r="V182" s="61"/>
      <c r="W182" s="61"/>
      <c r="X182" s="66">
        <f t="shared" si="7"/>
        <v>0.75900000000000001</v>
      </c>
      <c r="Y182" s="71">
        <v>271</v>
      </c>
      <c r="Z182" s="192" t="str">
        <f t="shared" ref="Z182:Z202" si="9">IF(X182&lt;&gt;"",IF(X182&lt;0.9,"S","F"),"")</f>
        <v>S</v>
      </c>
      <c r="AA182" s="195"/>
      <c r="AB182" s="196" t="s">
        <v>1206</v>
      </c>
      <c r="AC182" s="196" t="s">
        <v>1207</v>
      </c>
      <c r="AD182" s="196" t="s">
        <v>1183</v>
      </c>
      <c r="AE182" s="196" t="s">
        <v>1184</v>
      </c>
      <c r="AF182" s="196" t="s">
        <v>1190</v>
      </c>
      <c r="AG182" s="196" t="s">
        <v>1186</v>
      </c>
      <c r="AH182" s="172"/>
      <c r="AI182" s="172"/>
      <c r="AJ182" s="172"/>
      <c r="AK182" s="172"/>
      <c r="AL182" s="172"/>
    </row>
    <row r="183" spans="1:38" s="45" customFormat="1">
      <c r="A183" s="53">
        <v>173</v>
      </c>
      <c r="B183" s="54" t="s">
        <v>585</v>
      </c>
      <c r="C183" s="54">
        <v>2011</v>
      </c>
      <c r="D183" s="78" t="s">
        <v>636</v>
      </c>
      <c r="E183" s="56" t="s">
        <v>681</v>
      </c>
      <c r="F183" s="57" t="s">
        <v>682</v>
      </c>
      <c r="G183" s="54" t="s">
        <v>495</v>
      </c>
      <c r="H183" s="54" t="s">
        <v>41</v>
      </c>
      <c r="I183" s="54"/>
      <c r="J183" s="54" t="s">
        <v>1015</v>
      </c>
      <c r="K183" s="54" t="s">
        <v>1142</v>
      </c>
      <c r="L183" s="54" t="s">
        <v>683</v>
      </c>
      <c r="M183" s="59"/>
      <c r="N183" s="59"/>
      <c r="O183" s="54" t="s">
        <v>685</v>
      </c>
      <c r="P183" s="60"/>
      <c r="Q183" s="60"/>
      <c r="R183" s="54"/>
      <c r="S183" s="54"/>
      <c r="T183" s="54"/>
      <c r="U183" s="61">
        <v>0.79600000000000004</v>
      </c>
      <c r="V183" s="61"/>
      <c r="W183" s="61"/>
      <c r="X183" s="66">
        <f t="shared" si="7"/>
        <v>0.79600000000000004</v>
      </c>
      <c r="Y183" s="71">
        <v>227</v>
      </c>
      <c r="Z183" s="192" t="str">
        <f t="shared" si="9"/>
        <v>S</v>
      </c>
      <c r="AA183" s="196" t="str">
        <f>+K183</f>
        <v>SE pine - stump</v>
      </c>
      <c r="AB183" s="198">
        <f>AVERAGE($Y$182:$Y$186)</f>
        <v>211.2</v>
      </c>
      <c r="AC183" s="198">
        <f>MEDIAN($Y$182:$Y$186)</f>
        <v>226</v>
      </c>
      <c r="AD183" s="198">
        <f>MAX($Y$182:$Y$186)</f>
        <v>271</v>
      </c>
      <c r="AE183" s="198">
        <f>MIN($Y$182:$Y$186)</f>
        <v>137</v>
      </c>
      <c r="AF183" s="198">
        <f>STDEV($Y$182:$Y$186)</f>
        <v>49.529789016308129</v>
      </c>
      <c r="AG183" s="198">
        <f>COUNT($Y$182:$Y$186)</f>
        <v>5</v>
      </c>
      <c r="AH183" s="172"/>
      <c r="AI183" s="172"/>
      <c r="AJ183" s="172"/>
      <c r="AK183" s="172"/>
      <c r="AL183" s="172"/>
    </row>
    <row r="184" spans="1:38" s="45" customFormat="1">
      <c r="A184" s="53">
        <v>173</v>
      </c>
      <c r="B184" s="54" t="s">
        <v>585</v>
      </c>
      <c r="C184" s="54">
        <v>2011</v>
      </c>
      <c r="D184" s="78" t="s">
        <v>636</v>
      </c>
      <c r="E184" s="56" t="s">
        <v>681</v>
      </c>
      <c r="F184" s="57" t="s">
        <v>682</v>
      </c>
      <c r="G184" s="54" t="s">
        <v>495</v>
      </c>
      <c r="H184" s="54" t="s">
        <v>41</v>
      </c>
      <c r="I184" s="54"/>
      <c r="J184" s="54" t="s">
        <v>1015</v>
      </c>
      <c r="K184" s="54" t="s">
        <v>1142</v>
      </c>
      <c r="L184" s="54" t="s">
        <v>683</v>
      </c>
      <c r="M184" s="59"/>
      <c r="N184" s="59"/>
      <c r="O184" s="54" t="s">
        <v>687</v>
      </c>
      <c r="P184" s="60"/>
      <c r="Q184" s="60"/>
      <c r="R184" s="54"/>
      <c r="S184" s="54"/>
      <c r="T184" s="54"/>
      <c r="U184" s="61">
        <v>0.8</v>
      </c>
      <c r="V184" s="61"/>
      <c r="W184" s="61"/>
      <c r="X184" s="66">
        <f t="shared" si="7"/>
        <v>0.8</v>
      </c>
      <c r="Y184" s="71">
        <v>226</v>
      </c>
      <c r="Z184" s="192" t="str">
        <f t="shared" si="9"/>
        <v>S</v>
      </c>
      <c r="AA184"/>
      <c r="AB184"/>
      <c r="AC184"/>
      <c r="AD184"/>
      <c r="AE184" s="172"/>
      <c r="AF184" s="172"/>
      <c r="AG184" s="172"/>
      <c r="AH184" s="172"/>
      <c r="AI184" s="172"/>
      <c r="AJ184" s="172"/>
      <c r="AK184" s="172"/>
      <c r="AL184" s="172"/>
    </row>
    <row r="185" spans="1:38" s="45" customFormat="1">
      <c r="A185" s="53">
        <v>173</v>
      </c>
      <c r="B185" s="54" t="s">
        <v>585</v>
      </c>
      <c r="C185" s="54">
        <v>2011</v>
      </c>
      <c r="D185" s="78" t="s">
        <v>636</v>
      </c>
      <c r="E185" s="56" t="s">
        <v>681</v>
      </c>
      <c r="F185" s="57" t="s">
        <v>682</v>
      </c>
      <c r="G185" s="54" t="s">
        <v>495</v>
      </c>
      <c r="H185" s="54" t="s">
        <v>41</v>
      </c>
      <c r="I185" s="54"/>
      <c r="J185" s="54" t="s">
        <v>1015</v>
      </c>
      <c r="K185" s="54" t="s">
        <v>1142</v>
      </c>
      <c r="L185" s="54" t="s">
        <v>683</v>
      </c>
      <c r="M185" s="59"/>
      <c r="N185" s="59"/>
      <c r="O185" s="54" t="s">
        <v>686</v>
      </c>
      <c r="P185" s="60"/>
      <c r="Q185" s="60"/>
      <c r="R185" s="54"/>
      <c r="S185" s="54"/>
      <c r="T185" s="54"/>
      <c r="U185" s="61">
        <v>0.82299999999999995</v>
      </c>
      <c r="V185" s="61"/>
      <c r="W185" s="61"/>
      <c r="X185" s="66">
        <f t="shared" si="7"/>
        <v>0.82299999999999995</v>
      </c>
      <c r="Y185" s="71">
        <v>195</v>
      </c>
      <c r="Z185" s="192" t="str">
        <f t="shared" si="9"/>
        <v>S</v>
      </c>
      <c r="AA185"/>
      <c r="AB185"/>
      <c r="AC185"/>
      <c r="AD185"/>
      <c r="AE185" s="172"/>
      <c r="AF185" s="172"/>
      <c r="AG185" s="172"/>
      <c r="AH185" s="172"/>
      <c r="AI185" s="172"/>
      <c r="AJ185" s="172"/>
      <c r="AK185" s="172"/>
      <c r="AL185" s="172"/>
    </row>
    <row r="186" spans="1:38" s="45" customFormat="1">
      <c r="A186" s="53">
        <v>173</v>
      </c>
      <c r="B186" s="54" t="s">
        <v>585</v>
      </c>
      <c r="C186" s="54">
        <v>2011</v>
      </c>
      <c r="D186" s="78" t="s">
        <v>636</v>
      </c>
      <c r="E186" s="56" t="s">
        <v>681</v>
      </c>
      <c r="F186" s="57" t="s">
        <v>682</v>
      </c>
      <c r="G186" s="54" t="s">
        <v>495</v>
      </c>
      <c r="H186" s="54" t="s">
        <v>41</v>
      </c>
      <c r="I186" s="54"/>
      <c r="J186" s="54" t="s">
        <v>1015</v>
      </c>
      <c r="K186" s="54" t="s">
        <v>1142</v>
      </c>
      <c r="L186" s="54" t="s">
        <v>688</v>
      </c>
      <c r="M186" s="59"/>
      <c r="N186" s="59"/>
      <c r="O186" s="54" t="s">
        <v>689</v>
      </c>
      <c r="P186" s="60"/>
      <c r="Q186" s="60"/>
      <c r="R186" s="54"/>
      <c r="S186" s="54"/>
      <c r="T186" s="54"/>
      <c r="U186" s="61">
        <v>0.85</v>
      </c>
      <c r="V186" s="61"/>
      <c r="W186" s="61"/>
      <c r="X186" s="66">
        <f t="shared" si="7"/>
        <v>0.85</v>
      </c>
      <c r="Y186" s="71">
        <v>137</v>
      </c>
      <c r="Z186" s="192" t="str">
        <f t="shared" si="9"/>
        <v>S</v>
      </c>
      <c r="AA186"/>
      <c r="AB186"/>
      <c r="AC186"/>
      <c r="AD186"/>
      <c r="AE186" s="172"/>
      <c r="AF186" s="172"/>
      <c r="AG186" s="172"/>
      <c r="AH186" s="172"/>
      <c r="AI186" s="172"/>
      <c r="AJ186" s="172"/>
      <c r="AK186" s="172"/>
      <c r="AL186" s="172"/>
    </row>
    <row r="187" spans="1:38" s="107" customFormat="1">
      <c r="A187" s="97">
        <v>180</v>
      </c>
      <c r="B187" s="178" t="s">
        <v>760</v>
      </c>
      <c r="C187" s="98">
        <v>1987</v>
      </c>
      <c r="D187" s="123" t="s">
        <v>761</v>
      </c>
      <c r="E187" s="99" t="s">
        <v>36</v>
      </c>
      <c r="F187" s="98">
        <v>1987</v>
      </c>
      <c r="G187" s="98" t="s">
        <v>44</v>
      </c>
      <c r="H187" s="98" t="s">
        <v>38</v>
      </c>
      <c r="I187" s="98"/>
      <c r="J187" s="98" t="s">
        <v>1071</v>
      </c>
      <c r="K187" s="98" t="s">
        <v>1095</v>
      </c>
      <c r="L187" s="98" t="s">
        <v>765</v>
      </c>
      <c r="M187" s="98"/>
      <c r="N187" s="98"/>
      <c r="O187" s="98" t="s">
        <v>765</v>
      </c>
      <c r="P187" s="98"/>
      <c r="Q187" s="98"/>
      <c r="R187" s="98"/>
      <c r="S187" s="98"/>
      <c r="T187" s="98"/>
      <c r="U187" s="98"/>
      <c r="V187" s="98"/>
      <c r="W187" s="98"/>
      <c r="X187" s="101" t="str">
        <f t="shared" si="7"/>
        <v/>
      </c>
      <c r="Y187" s="122">
        <v>62</v>
      </c>
      <c r="Z187" s="106" t="str">
        <f t="shared" si="9"/>
        <v/>
      </c>
      <c r="AA187" s="187"/>
      <c r="AB187" s="188" t="s">
        <v>1179</v>
      </c>
      <c r="AC187" s="188" t="s">
        <v>1182</v>
      </c>
      <c r="AD187" s="188" t="s">
        <v>1183</v>
      </c>
      <c r="AE187" s="188" t="s">
        <v>1184</v>
      </c>
      <c r="AF187" s="188" t="s">
        <v>1190</v>
      </c>
      <c r="AG187" s="188" t="s">
        <v>1186</v>
      </c>
      <c r="AL187" s="174"/>
    </row>
    <row r="188" spans="1:38" s="107" customFormat="1">
      <c r="A188" s="97">
        <v>180</v>
      </c>
      <c r="B188" s="178" t="s">
        <v>760</v>
      </c>
      <c r="C188" s="98">
        <v>1987</v>
      </c>
      <c r="D188" s="123" t="s">
        <v>761</v>
      </c>
      <c r="E188" s="99" t="s">
        <v>36</v>
      </c>
      <c r="F188" s="98">
        <v>1987</v>
      </c>
      <c r="G188" s="98" t="s">
        <v>44</v>
      </c>
      <c r="H188" s="98" t="s">
        <v>38</v>
      </c>
      <c r="I188" s="98"/>
      <c r="J188" s="98" t="s">
        <v>1071</v>
      </c>
      <c r="K188" s="98" t="s">
        <v>1095</v>
      </c>
      <c r="L188" s="98" t="s">
        <v>765</v>
      </c>
      <c r="M188" s="98"/>
      <c r="N188" s="98"/>
      <c r="O188" s="98" t="s">
        <v>765</v>
      </c>
      <c r="P188" s="98"/>
      <c r="Q188" s="98"/>
      <c r="R188" s="98"/>
      <c r="S188" s="98"/>
      <c r="T188" s="98"/>
      <c r="U188" s="98"/>
      <c r="V188" s="98"/>
      <c r="W188" s="98"/>
      <c r="X188" s="101" t="str">
        <f t="shared" si="7"/>
        <v/>
      </c>
      <c r="Y188" s="122">
        <v>70</v>
      </c>
      <c r="Z188" s="106" t="str">
        <f t="shared" si="9"/>
        <v/>
      </c>
      <c r="AA188" s="150" t="s">
        <v>1367</v>
      </c>
      <c r="AB188" s="151">
        <f>AVERAGE($Y$187:$Y$202)</f>
        <v>74.29560869625</v>
      </c>
      <c r="AC188" s="151">
        <f>MEDIAN($Y$187:$Y$202)</f>
        <v>71.027914324999998</v>
      </c>
      <c r="AD188" s="151">
        <f>MAX($Y$187:$Y$202)</f>
        <v>116.5</v>
      </c>
      <c r="AE188" s="151">
        <f>MIN($Y$187:$Y$202)</f>
        <v>54.7</v>
      </c>
      <c r="AF188" s="151">
        <f>STDEV($Y$187:$Y$202)</f>
        <v>15.730974708459147</v>
      </c>
      <c r="AG188" s="307">
        <f>COUNT($Y$187:$Y$202)</f>
        <v>16</v>
      </c>
      <c r="AL188" s="174"/>
    </row>
    <row r="189" spans="1:38" s="107" customFormat="1">
      <c r="A189" s="97">
        <v>203</v>
      </c>
      <c r="B189" s="123" t="s">
        <v>940</v>
      </c>
      <c r="C189" s="98">
        <v>2011</v>
      </c>
      <c r="D189" s="123" t="s">
        <v>941</v>
      </c>
      <c r="E189" s="99" t="s">
        <v>20</v>
      </c>
      <c r="F189" s="98">
        <v>2009</v>
      </c>
      <c r="G189" s="98" t="s">
        <v>326</v>
      </c>
      <c r="H189" s="98"/>
      <c r="I189" s="98"/>
      <c r="J189" s="101" t="s">
        <v>1071</v>
      </c>
      <c r="K189" s="98" t="s">
        <v>1072</v>
      </c>
      <c r="L189" s="98" t="s">
        <v>947</v>
      </c>
      <c r="M189" s="98"/>
      <c r="N189" s="98"/>
      <c r="O189" s="98">
        <v>63</v>
      </c>
      <c r="P189" s="98"/>
      <c r="Q189" s="98"/>
      <c r="R189" s="98"/>
      <c r="S189" s="98"/>
      <c r="T189" s="98"/>
      <c r="U189" s="98">
        <v>0.96</v>
      </c>
      <c r="V189" s="98"/>
      <c r="W189" s="98"/>
      <c r="X189" s="101">
        <f t="shared" si="7"/>
        <v>0.96</v>
      </c>
      <c r="Y189" s="122">
        <v>54.7</v>
      </c>
      <c r="Z189" s="106" t="str">
        <f t="shared" si="9"/>
        <v>F</v>
      </c>
      <c r="AA189" s="188" t="s">
        <v>1368</v>
      </c>
      <c r="AB189" s="191">
        <f>AVERAGE($Y$189:$Y$200)</f>
        <v>72.435811595000004</v>
      </c>
      <c r="AC189" s="191">
        <f>MEDIAN($Y$189:$Y$200)</f>
        <v>73.022159204999994</v>
      </c>
      <c r="AD189" s="191">
        <f>MAX($Y$189:$Y$200)</f>
        <v>95.7</v>
      </c>
      <c r="AE189" s="191">
        <f>MIN($Y$189:$Y$200)</f>
        <v>54.7</v>
      </c>
      <c r="AF189" s="191">
        <f>STDEV($Y$189:$Y$200)</f>
        <v>12.463551977292786</v>
      </c>
      <c r="AG189" s="190">
        <f>COUNT($Y$189:$Y$200)</f>
        <v>12</v>
      </c>
      <c r="AL189" s="174"/>
    </row>
    <row r="190" spans="1:38" s="107" customFormat="1">
      <c r="A190" s="97">
        <v>172</v>
      </c>
      <c r="B190" s="98" t="s">
        <v>585</v>
      </c>
      <c r="C190" s="98">
        <v>2010</v>
      </c>
      <c r="D190" s="98" t="s">
        <v>586</v>
      </c>
      <c r="E190" s="99" t="s">
        <v>589</v>
      </c>
      <c r="F190" s="100">
        <v>40230</v>
      </c>
      <c r="G190" s="98" t="s">
        <v>495</v>
      </c>
      <c r="H190" s="98" t="s">
        <v>41</v>
      </c>
      <c r="I190" s="98"/>
      <c r="J190" s="101" t="s">
        <v>1071</v>
      </c>
      <c r="K190" s="98" t="s">
        <v>1072</v>
      </c>
      <c r="L190" s="98" t="s">
        <v>620</v>
      </c>
      <c r="M190" s="109" t="s">
        <v>621</v>
      </c>
      <c r="N190" s="109" t="s">
        <v>622</v>
      </c>
      <c r="O190" s="98"/>
      <c r="P190" s="103"/>
      <c r="Q190" s="103"/>
      <c r="R190" s="98"/>
      <c r="S190" s="98"/>
      <c r="T190" s="98"/>
      <c r="U190" s="103">
        <v>0.95299999999999996</v>
      </c>
      <c r="V190" s="175"/>
      <c r="W190" s="175"/>
      <c r="X190" s="101">
        <f t="shared" si="7"/>
        <v>0.95299999999999996</v>
      </c>
      <c r="Y190" s="122">
        <v>59.38</v>
      </c>
      <c r="Z190" s="106" t="str">
        <f t="shared" si="9"/>
        <v>F</v>
      </c>
      <c r="AA190" s="188" t="s">
        <v>1369</v>
      </c>
      <c r="AB190" s="191">
        <f>AVERAGE($Y$201:$Y$202)</f>
        <v>93.75</v>
      </c>
      <c r="AC190" s="191">
        <f>MEDIAN($Y$201:$Y$202)</f>
        <v>93.75</v>
      </c>
      <c r="AD190" s="191">
        <f>MAX($Y$201:$Y$202)</f>
        <v>116.5</v>
      </c>
      <c r="AE190" s="191">
        <f>MIN($Y$201:$Y$202)</f>
        <v>71</v>
      </c>
      <c r="AF190" s="191">
        <f>STDEV($Y$201:$Y$202)</f>
        <v>32.173358543987909</v>
      </c>
      <c r="AG190" s="190">
        <f>COUNT($Y$201:$Y$202)</f>
        <v>2</v>
      </c>
      <c r="AH190" s="174"/>
      <c r="AI190" s="174"/>
      <c r="AJ190" s="174"/>
      <c r="AK190" s="174"/>
      <c r="AL190" s="174"/>
    </row>
    <row r="191" spans="1:38" s="107" customFormat="1">
      <c r="A191" s="97">
        <v>203</v>
      </c>
      <c r="B191" s="123" t="s">
        <v>940</v>
      </c>
      <c r="C191" s="98">
        <v>2011</v>
      </c>
      <c r="D191" s="123" t="s">
        <v>941</v>
      </c>
      <c r="E191" s="99" t="s">
        <v>20</v>
      </c>
      <c r="F191" s="98">
        <v>2009</v>
      </c>
      <c r="G191" s="98" t="s">
        <v>326</v>
      </c>
      <c r="H191" s="98"/>
      <c r="I191" s="98"/>
      <c r="J191" s="101" t="s">
        <v>1071</v>
      </c>
      <c r="K191" s="98" t="s">
        <v>1088</v>
      </c>
      <c r="L191" s="98" t="s">
        <v>721</v>
      </c>
      <c r="M191" s="98"/>
      <c r="N191" s="98"/>
      <c r="O191" s="98">
        <v>47</v>
      </c>
      <c r="P191" s="98"/>
      <c r="Q191" s="98"/>
      <c r="R191" s="98"/>
      <c r="S191" s="98"/>
      <c r="T191" s="98"/>
      <c r="U191" s="98">
        <v>0.95</v>
      </c>
      <c r="V191" s="98"/>
      <c r="W191" s="98"/>
      <c r="X191" s="101">
        <f t="shared" si="7"/>
        <v>0.95</v>
      </c>
      <c r="Y191" s="122">
        <v>59.8</v>
      </c>
      <c r="Z191" s="106" t="str">
        <f t="shared" si="9"/>
        <v>F</v>
      </c>
      <c r="AD191" s="174"/>
      <c r="AE191" s="174"/>
      <c r="AF191" s="174"/>
      <c r="AG191" s="174"/>
      <c r="AH191" s="174"/>
      <c r="AI191" s="174"/>
      <c r="AJ191" s="174"/>
      <c r="AK191" s="174"/>
      <c r="AL191" s="174"/>
    </row>
    <row r="192" spans="1:38" s="107" customFormat="1">
      <c r="A192" s="97">
        <v>174</v>
      </c>
      <c r="B192" s="98" t="s">
        <v>697</v>
      </c>
      <c r="C192" s="98">
        <v>2009</v>
      </c>
      <c r="D192" s="108" t="s">
        <v>698</v>
      </c>
      <c r="E192" s="99" t="s">
        <v>20</v>
      </c>
      <c r="F192" s="100" t="s">
        <v>701</v>
      </c>
      <c r="G192" s="98" t="s">
        <v>708</v>
      </c>
      <c r="H192" s="98" t="s">
        <v>708</v>
      </c>
      <c r="I192" s="98"/>
      <c r="J192" s="101" t="s">
        <v>1071</v>
      </c>
      <c r="K192" s="98" t="s">
        <v>1088</v>
      </c>
      <c r="L192" s="98" t="s">
        <v>721</v>
      </c>
      <c r="M192" s="109"/>
      <c r="N192" s="109"/>
      <c r="O192" s="98" t="s">
        <v>721</v>
      </c>
      <c r="P192" s="103"/>
      <c r="Q192" s="103"/>
      <c r="R192" s="98"/>
      <c r="S192" s="98"/>
      <c r="T192" s="98"/>
      <c r="U192" s="104">
        <v>0.94699999999999995</v>
      </c>
      <c r="V192" s="104"/>
      <c r="W192" s="104"/>
      <c r="X192" s="101">
        <f t="shared" si="7"/>
        <v>0.94699999999999995</v>
      </c>
      <c r="Y192" s="122">
        <v>66</v>
      </c>
      <c r="Z192" s="106" t="str">
        <f t="shared" si="9"/>
        <v>F</v>
      </c>
      <c r="AD192" s="174"/>
      <c r="AE192" s="174"/>
      <c r="AF192" s="174"/>
      <c r="AG192" s="174"/>
      <c r="AH192" s="174"/>
      <c r="AI192" s="174"/>
      <c r="AJ192" s="174"/>
      <c r="AK192" s="174"/>
      <c r="AL192" s="174"/>
    </row>
    <row r="193" spans="1:38" s="107" customFormat="1">
      <c r="A193" s="97">
        <v>181</v>
      </c>
      <c r="B193" s="98" t="s">
        <v>766</v>
      </c>
      <c r="C193" s="98">
        <v>2009</v>
      </c>
      <c r="D193" s="112" t="s">
        <v>767</v>
      </c>
      <c r="E193" s="113" t="s">
        <v>49</v>
      </c>
      <c r="F193" s="115" t="s">
        <v>793</v>
      </c>
      <c r="G193" s="98" t="s">
        <v>794</v>
      </c>
      <c r="H193" s="115" t="s">
        <v>41</v>
      </c>
      <c r="I193" s="115"/>
      <c r="J193" s="115" t="s">
        <v>1071</v>
      </c>
      <c r="K193" s="115" t="s">
        <v>1072</v>
      </c>
      <c r="L193" s="193" t="s">
        <v>415</v>
      </c>
      <c r="M193" s="193" t="s">
        <v>620</v>
      </c>
      <c r="N193" s="115"/>
      <c r="O193" s="193" t="s">
        <v>795</v>
      </c>
      <c r="P193" s="115"/>
      <c r="Q193" s="115"/>
      <c r="R193" s="98"/>
      <c r="S193" s="98"/>
      <c r="T193" s="98"/>
      <c r="U193" s="193">
        <v>0.94299999999999995</v>
      </c>
      <c r="V193" s="176"/>
      <c r="W193" s="176"/>
      <c r="X193" s="101">
        <f t="shared" si="7"/>
        <v>0.94299999999999995</v>
      </c>
      <c r="Y193" s="207">
        <v>64.209267850000003</v>
      </c>
      <c r="Z193" s="106" t="str">
        <f t="shared" si="9"/>
        <v>F</v>
      </c>
      <c r="AD193" s="174"/>
      <c r="AE193" s="174"/>
      <c r="AF193" s="174"/>
      <c r="AG193" s="174"/>
      <c r="AH193" s="174"/>
      <c r="AI193" s="174"/>
      <c r="AJ193" s="174"/>
      <c r="AK193" s="174"/>
      <c r="AL193" s="174"/>
    </row>
    <row r="194" spans="1:38" s="107" customFormat="1">
      <c r="A194" s="97">
        <v>181</v>
      </c>
      <c r="B194" s="98" t="s">
        <v>766</v>
      </c>
      <c r="C194" s="98">
        <v>2009</v>
      </c>
      <c r="D194" s="112" t="s">
        <v>767</v>
      </c>
      <c r="E194" s="113" t="s">
        <v>49</v>
      </c>
      <c r="F194" s="115" t="s">
        <v>834</v>
      </c>
      <c r="G194" s="98" t="s">
        <v>835</v>
      </c>
      <c r="H194" s="115" t="s">
        <v>43</v>
      </c>
      <c r="I194" s="115"/>
      <c r="J194" s="115" t="s">
        <v>1071</v>
      </c>
      <c r="K194" s="115" t="s">
        <v>1095</v>
      </c>
      <c r="L194" s="193" t="s">
        <v>415</v>
      </c>
      <c r="M194" s="193" t="s">
        <v>801</v>
      </c>
      <c r="N194" s="115" t="s">
        <v>866</v>
      </c>
      <c r="O194" s="193" t="s">
        <v>867</v>
      </c>
      <c r="P194" s="115"/>
      <c r="Q194" s="115"/>
      <c r="R194" s="98"/>
      <c r="S194" s="98"/>
      <c r="T194" s="98"/>
      <c r="U194" s="193">
        <v>0.93799999999999994</v>
      </c>
      <c r="V194" s="176"/>
      <c r="W194" s="176"/>
      <c r="X194" s="101">
        <f t="shared" ref="X194:X202" si="10">IF(R194&lt;&gt;0,IF(R194&gt;1,R194/100,R194),IF(U194&lt;&gt;0,IF(U194&gt;1,U194/100,U194),""))</f>
        <v>0.93799999999999994</v>
      </c>
      <c r="Y194" s="207">
        <v>71.055828649999995</v>
      </c>
      <c r="Z194" s="106" t="str">
        <f t="shared" si="9"/>
        <v>F</v>
      </c>
      <c r="AA194" s="101"/>
      <c r="AB194" s="101"/>
      <c r="AC194" s="101"/>
      <c r="AD194" s="174"/>
      <c r="AE194" s="174"/>
      <c r="AF194" s="174"/>
      <c r="AG194" s="174"/>
      <c r="AH194" s="174"/>
      <c r="AI194" s="174"/>
      <c r="AJ194" s="174"/>
      <c r="AK194" s="174"/>
      <c r="AL194" s="174"/>
    </row>
    <row r="195" spans="1:38" s="107" customFormat="1">
      <c r="A195" s="97">
        <v>181</v>
      </c>
      <c r="B195" s="98" t="s">
        <v>766</v>
      </c>
      <c r="C195" s="98">
        <v>2009</v>
      </c>
      <c r="D195" s="112" t="s">
        <v>767</v>
      </c>
      <c r="E195" s="113" t="s">
        <v>49</v>
      </c>
      <c r="F195" s="115" t="s">
        <v>793</v>
      </c>
      <c r="G195" s="98" t="s">
        <v>770</v>
      </c>
      <c r="H195" s="115" t="s">
        <v>771</v>
      </c>
      <c r="I195" s="115"/>
      <c r="J195" s="115" t="s">
        <v>1071</v>
      </c>
      <c r="K195" s="115" t="s">
        <v>1072</v>
      </c>
      <c r="L195" s="193" t="s">
        <v>415</v>
      </c>
      <c r="M195" s="193" t="s">
        <v>620</v>
      </c>
      <c r="N195" s="115"/>
      <c r="O195" s="193" t="s">
        <v>865</v>
      </c>
      <c r="P195" s="115"/>
      <c r="Q195" s="115"/>
      <c r="R195" s="98"/>
      <c r="S195" s="98"/>
      <c r="T195" s="98"/>
      <c r="U195" s="193">
        <v>0.93500000000000005</v>
      </c>
      <c r="V195" s="176"/>
      <c r="W195" s="176"/>
      <c r="X195" s="101">
        <f t="shared" si="10"/>
        <v>0.93500000000000005</v>
      </c>
      <c r="Y195" s="207">
        <v>74.988489759999993</v>
      </c>
      <c r="Z195" s="106" t="str">
        <f t="shared" si="9"/>
        <v>F</v>
      </c>
      <c r="AA195" s="101"/>
      <c r="AB195" s="101"/>
      <c r="AC195" s="101"/>
      <c r="AD195" s="174"/>
      <c r="AE195" s="174"/>
      <c r="AF195" s="174"/>
      <c r="AG195" s="174"/>
      <c r="AH195" s="174"/>
      <c r="AI195" s="174"/>
      <c r="AJ195" s="174"/>
      <c r="AK195" s="174"/>
      <c r="AL195" s="174"/>
    </row>
    <row r="196" spans="1:38" s="107" customFormat="1">
      <c r="A196" s="97">
        <v>181</v>
      </c>
      <c r="B196" s="98" t="s">
        <v>766</v>
      </c>
      <c r="C196" s="98">
        <v>2009</v>
      </c>
      <c r="D196" s="112" t="s">
        <v>767</v>
      </c>
      <c r="E196" s="113" t="s">
        <v>49</v>
      </c>
      <c r="F196" s="115" t="s">
        <v>799</v>
      </c>
      <c r="G196" s="98" t="s">
        <v>800</v>
      </c>
      <c r="H196" s="115" t="s">
        <v>43</v>
      </c>
      <c r="I196" s="115"/>
      <c r="J196" s="115" t="s">
        <v>1071</v>
      </c>
      <c r="K196" s="115" t="s">
        <v>1095</v>
      </c>
      <c r="L196" s="193" t="s">
        <v>415</v>
      </c>
      <c r="M196" s="193" t="s">
        <v>801</v>
      </c>
      <c r="N196" s="115"/>
      <c r="O196" s="193" t="s">
        <v>802</v>
      </c>
      <c r="P196" s="115"/>
      <c r="Q196" s="115"/>
      <c r="R196" s="98"/>
      <c r="S196" s="98"/>
      <c r="T196" s="98"/>
      <c r="U196" s="193">
        <v>0.93300000000000005</v>
      </c>
      <c r="V196" s="176"/>
      <c r="W196" s="176"/>
      <c r="X196" s="101">
        <f t="shared" si="10"/>
        <v>0.93300000000000005</v>
      </c>
      <c r="Y196" s="207">
        <v>76.425079999999994</v>
      </c>
      <c r="Z196" s="106" t="str">
        <f t="shared" si="9"/>
        <v>F</v>
      </c>
      <c r="AA196" s="101"/>
      <c r="AB196" s="101"/>
      <c r="AC196" s="101"/>
      <c r="AD196" s="174"/>
      <c r="AE196" s="174"/>
      <c r="AF196" s="174"/>
      <c r="AG196" s="174"/>
      <c r="AH196" s="174"/>
      <c r="AI196" s="174"/>
      <c r="AJ196" s="174"/>
      <c r="AK196" s="174"/>
      <c r="AL196" s="174"/>
    </row>
    <row r="197" spans="1:38" s="107" customFormat="1">
      <c r="A197" s="97">
        <v>174</v>
      </c>
      <c r="B197" s="98" t="s">
        <v>697</v>
      </c>
      <c r="C197" s="98">
        <v>2009</v>
      </c>
      <c r="D197" s="108" t="s">
        <v>698</v>
      </c>
      <c r="E197" s="99" t="s">
        <v>20</v>
      </c>
      <c r="F197" s="100" t="s">
        <v>701</v>
      </c>
      <c r="G197" s="98" t="s">
        <v>43</v>
      </c>
      <c r="H197" s="98" t="s">
        <v>43</v>
      </c>
      <c r="I197" s="98"/>
      <c r="J197" s="101" t="s">
        <v>1071</v>
      </c>
      <c r="K197" s="98" t="s">
        <v>1095</v>
      </c>
      <c r="L197" s="98" t="s">
        <v>736</v>
      </c>
      <c r="M197" s="109"/>
      <c r="N197" s="109"/>
      <c r="O197" s="98" t="s">
        <v>736</v>
      </c>
      <c r="P197" s="103"/>
      <c r="Q197" s="103"/>
      <c r="R197" s="98"/>
      <c r="S197" s="98"/>
      <c r="T197" s="98"/>
      <c r="U197" s="104">
        <v>0.93300000000000005</v>
      </c>
      <c r="V197" s="104"/>
      <c r="W197" s="104"/>
      <c r="X197" s="101">
        <f t="shared" si="10"/>
        <v>0.93300000000000005</v>
      </c>
      <c r="Y197" s="122">
        <v>75.900000000000006</v>
      </c>
      <c r="Z197" s="106" t="str">
        <f t="shared" si="9"/>
        <v>F</v>
      </c>
      <c r="AA197" s="101"/>
      <c r="AB197" s="101"/>
      <c r="AC197" s="101"/>
      <c r="AD197" s="174"/>
      <c r="AE197" s="174"/>
      <c r="AF197" s="174"/>
      <c r="AG197" s="174"/>
      <c r="AH197" s="174"/>
      <c r="AI197" s="174"/>
      <c r="AJ197" s="174"/>
      <c r="AK197" s="174"/>
      <c r="AL197" s="174"/>
    </row>
    <row r="198" spans="1:38" s="107" customFormat="1">
      <c r="A198" s="97">
        <v>203</v>
      </c>
      <c r="B198" s="123" t="s">
        <v>940</v>
      </c>
      <c r="C198" s="98">
        <v>2011</v>
      </c>
      <c r="D198" s="123" t="s">
        <v>941</v>
      </c>
      <c r="E198" s="99" t="s">
        <v>20</v>
      </c>
      <c r="F198" s="98">
        <v>2009</v>
      </c>
      <c r="G198" s="98" t="s">
        <v>326</v>
      </c>
      <c r="H198" s="98"/>
      <c r="I198" s="98"/>
      <c r="J198" s="101" t="s">
        <v>1071</v>
      </c>
      <c r="K198" s="98" t="s">
        <v>1088</v>
      </c>
      <c r="L198" s="98" t="s">
        <v>721</v>
      </c>
      <c r="M198" s="98"/>
      <c r="N198" s="98"/>
      <c r="O198" s="98">
        <v>65</v>
      </c>
      <c r="P198" s="98"/>
      <c r="Q198" s="98"/>
      <c r="R198" s="98"/>
      <c r="S198" s="98"/>
      <c r="T198" s="98"/>
      <c r="U198" s="98">
        <v>0.93</v>
      </c>
      <c r="V198" s="98"/>
      <c r="W198" s="98"/>
      <c r="X198" s="101">
        <f t="shared" si="10"/>
        <v>0.93</v>
      </c>
      <c r="Y198" s="122">
        <v>81.400000000000006</v>
      </c>
      <c r="Z198" s="106" t="str">
        <f t="shared" si="9"/>
        <v>F</v>
      </c>
      <c r="AA198" s="101"/>
      <c r="AB198" s="101"/>
      <c r="AC198" s="101"/>
      <c r="AD198" s="174"/>
      <c r="AE198" s="174"/>
      <c r="AF198" s="174"/>
      <c r="AG198" s="174"/>
      <c r="AH198" s="174"/>
      <c r="AI198" s="174"/>
      <c r="AJ198" s="174"/>
      <c r="AK198" s="174"/>
      <c r="AL198" s="174"/>
    </row>
    <row r="199" spans="1:38" s="107" customFormat="1">
      <c r="A199" s="97">
        <v>181</v>
      </c>
      <c r="B199" s="98" t="s">
        <v>766</v>
      </c>
      <c r="C199" s="98">
        <v>2009</v>
      </c>
      <c r="D199" s="112" t="s">
        <v>767</v>
      </c>
      <c r="E199" s="112" t="s">
        <v>49</v>
      </c>
      <c r="F199" s="108" t="s">
        <v>834</v>
      </c>
      <c r="G199" s="98" t="s">
        <v>835</v>
      </c>
      <c r="H199" s="108" t="s">
        <v>43</v>
      </c>
      <c r="I199" s="108"/>
      <c r="J199" s="108" t="s">
        <v>1071</v>
      </c>
      <c r="K199" s="108" t="s">
        <v>1071</v>
      </c>
      <c r="L199" s="193" t="s">
        <v>415</v>
      </c>
      <c r="M199" s="193" t="s">
        <v>836</v>
      </c>
      <c r="N199" s="108"/>
      <c r="O199" s="193" t="s">
        <v>837</v>
      </c>
      <c r="P199" s="108"/>
      <c r="Q199" s="108"/>
      <c r="R199" s="98"/>
      <c r="S199" s="98"/>
      <c r="T199" s="98"/>
      <c r="U199" s="193">
        <v>0.92100000000000004</v>
      </c>
      <c r="V199" s="177"/>
      <c r="W199" s="177"/>
      <c r="X199" s="101">
        <f t="shared" si="10"/>
        <v>0.92100000000000004</v>
      </c>
      <c r="Y199" s="207">
        <v>89.671072879999997</v>
      </c>
      <c r="Z199" s="106" t="str">
        <f t="shared" si="9"/>
        <v>F</v>
      </c>
      <c r="AA199" s="101"/>
      <c r="AB199" s="101"/>
      <c r="AC199" s="101"/>
      <c r="AD199" s="174"/>
      <c r="AE199" s="174"/>
      <c r="AF199" s="174"/>
      <c r="AG199" s="174"/>
      <c r="AH199" s="174"/>
      <c r="AI199" s="174"/>
      <c r="AJ199" s="174"/>
      <c r="AK199" s="174"/>
      <c r="AL199" s="174"/>
    </row>
    <row r="200" spans="1:38" s="107" customFormat="1">
      <c r="A200" s="97">
        <v>174</v>
      </c>
      <c r="B200" s="98" t="s">
        <v>697</v>
      </c>
      <c r="C200" s="98">
        <v>2009</v>
      </c>
      <c r="D200" s="108" t="s">
        <v>698</v>
      </c>
      <c r="E200" s="99" t="s">
        <v>20</v>
      </c>
      <c r="F200" s="100" t="s">
        <v>701</v>
      </c>
      <c r="G200" s="98" t="s">
        <v>43</v>
      </c>
      <c r="H200" s="98" t="s">
        <v>43</v>
      </c>
      <c r="I200" s="98"/>
      <c r="J200" s="101" t="s">
        <v>1071</v>
      </c>
      <c r="K200" s="98" t="s">
        <v>1106</v>
      </c>
      <c r="L200" s="98" t="s">
        <v>732</v>
      </c>
      <c r="M200" s="109"/>
      <c r="N200" s="109"/>
      <c r="O200" s="98" t="s">
        <v>732</v>
      </c>
      <c r="P200" s="103"/>
      <c r="Q200" s="103"/>
      <c r="R200" s="98"/>
      <c r="S200" s="98"/>
      <c r="T200" s="98"/>
      <c r="U200" s="104">
        <v>0.91500000000000004</v>
      </c>
      <c r="V200" s="104"/>
      <c r="W200" s="104"/>
      <c r="X200" s="101">
        <f t="shared" si="10"/>
        <v>0.91500000000000004</v>
      </c>
      <c r="Y200" s="122">
        <v>95.7</v>
      </c>
      <c r="Z200" s="106" t="str">
        <f t="shared" si="9"/>
        <v>F</v>
      </c>
      <c r="AA200" s="101"/>
      <c r="AB200" s="101"/>
      <c r="AC200" s="101"/>
      <c r="AD200" s="174"/>
      <c r="AE200" s="174"/>
      <c r="AF200" s="174"/>
      <c r="AG200" s="174"/>
      <c r="AH200" s="174"/>
      <c r="AI200" s="174"/>
      <c r="AJ200" s="174"/>
      <c r="AK200" s="174"/>
      <c r="AL200" s="174"/>
    </row>
    <row r="201" spans="1:38" s="107" customFormat="1">
      <c r="A201" s="97">
        <v>174</v>
      </c>
      <c r="B201" s="98" t="s">
        <v>697</v>
      </c>
      <c r="C201" s="98">
        <v>2009</v>
      </c>
      <c r="D201" s="108" t="s">
        <v>698</v>
      </c>
      <c r="E201" s="99" t="s">
        <v>20</v>
      </c>
      <c r="F201" s="100" t="s">
        <v>701</v>
      </c>
      <c r="G201" s="98" t="s">
        <v>702</v>
      </c>
      <c r="H201" s="98" t="s">
        <v>38</v>
      </c>
      <c r="I201" s="98"/>
      <c r="J201" s="101" t="s">
        <v>1071</v>
      </c>
      <c r="K201" s="98" t="s">
        <v>1090</v>
      </c>
      <c r="L201" s="98" t="s">
        <v>703</v>
      </c>
      <c r="M201" s="109"/>
      <c r="N201" s="109"/>
      <c r="O201" s="98" t="s">
        <v>703</v>
      </c>
      <c r="P201" s="103"/>
      <c r="Q201" s="103"/>
      <c r="R201" s="98"/>
      <c r="S201" s="98"/>
      <c r="T201" s="98"/>
      <c r="U201" s="104">
        <v>0.85699999999999998</v>
      </c>
      <c r="V201" s="104"/>
      <c r="W201" s="104"/>
      <c r="X201" s="101">
        <f t="shared" si="10"/>
        <v>0.85699999999999998</v>
      </c>
      <c r="Y201" s="122">
        <v>116.5</v>
      </c>
      <c r="Z201" s="106" t="str">
        <f t="shared" si="9"/>
        <v>S</v>
      </c>
      <c r="AA201" s="101"/>
      <c r="AB201" s="101"/>
      <c r="AC201" s="101"/>
      <c r="AD201" s="174"/>
      <c r="AE201" s="174"/>
      <c r="AF201" s="174"/>
      <c r="AG201" s="174"/>
      <c r="AH201" s="174"/>
      <c r="AI201" s="174"/>
      <c r="AJ201" s="174"/>
      <c r="AK201" s="174"/>
      <c r="AL201" s="174"/>
    </row>
    <row r="202" spans="1:38" s="107" customFormat="1">
      <c r="A202" s="97">
        <v>174</v>
      </c>
      <c r="B202" s="98" t="s">
        <v>697</v>
      </c>
      <c r="C202" s="98">
        <v>2009</v>
      </c>
      <c r="D202" s="108" t="s">
        <v>698</v>
      </c>
      <c r="E202" s="99" t="s">
        <v>20</v>
      </c>
      <c r="F202" s="100" t="s">
        <v>701</v>
      </c>
      <c r="G202" s="98" t="s">
        <v>706</v>
      </c>
      <c r="H202" s="98" t="s">
        <v>43</v>
      </c>
      <c r="I202" s="98"/>
      <c r="J202" s="101" t="s">
        <v>1071</v>
      </c>
      <c r="K202" s="98" t="s">
        <v>1103</v>
      </c>
      <c r="L202" s="98" t="s">
        <v>756</v>
      </c>
      <c r="M202" s="109"/>
      <c r="N202" s="109"/>
      <c r="O202" s="98" t="s">
        <v>756</v>
      </c>
      <c r="P202" s="103"/>
      <c r="Q202" s="103"/>
      <c r="R202" s="98"/>
      <c r="S202" s="98"/>
      <c r="T202" s="98"/>
      <c r="U202" s="104">
        <v>0.84199999999999997</v>
      </c>
      <c r="V202" s="104"/>
      <c r="W202" s="104"/>
      <c r="X202" s="101">
        <f t="shared" si="10"/>
        <v>0.84199999999999997</v>
      </c>
      <c r="Y202" s="122">
        <v>71</v>
      </c>
      <c r="Z202" s="106" t="str">
        <f t="shared" si="9"/>
        <v>S</v>
      </c>
      <c r="AA202" s="101"/>
      <c r="AB202" s="101"/>
      <c r="AC202" s="101"/>
      <c r="AD202" s="174"/>
      <c r="AE202" s="174"/>
      <c r="AF202" s="174"/>
      <c r="AG202" s="174"/>
      <c r="AH202" s="174"/>
      <c r="AI202" s="174"/>
      <c r="AJ202" s="174"/>
      <c r="AK202" s="174"/>
      <c r="AL202" s="174"/>
    </row>
    <row r="203" spans="1:38" s="45" customFormat="1">
      <c r="A203" s="53">
        <v>121</v>
      </c>
      <c r="B203" s="60" t="s">
        <v>427</v>
      </c>
      <c r="C203" s="60">
        <v>2002</v>
      </c>
      <c r="D203" s="60" t="s">
        <v>428</v>
      </c>
      <c r="E203" s="56" t="s">
        <v>430</v>
      </c>
      <c r="F203" s="54">
        <v>2002</v>
      </c>
      <c r="G203" s="54" t="s">
        <v>461</v>
      </c>
      <c r="H203" s="54" t="s">
        <v>159</v>
      </c>
      <c r="I203" s="54"/>
      <c r="J203" s="54" t="s">
        <v>1013</v>
      </c>
      <c r="K203" s="54" t="s">
        <v>1162</v>
      </c>
      <c r="L203" s="54" t="s">
        <v>462</v>
      </c>
      <c r="M203" s="54" t="s">
        <v>463</v>
      </c>
      <c r="N203" s="54" t="s">
        <v>464</v>
      </c>
      <c r="O203" s="54" t="s">
        <v>465</v>
      </c>
      <c r="P203" s="54"/>
      <c r="Q203" s="54"/>
      <c r="R203" s="54"/>
      <c r="S203" s="54"/>
      <c r="T203" s="54"/>
      <c r="U203" s="54"/>
      <c r="V203" s="54"/>
      <c r="W203" s="54"/>
      <c r="X203" s="66" t="str">
        <f t="shared" ref="X203:X266" si="11">IF(R203&lt;&gt;0,IF(R203&gt;1,R203/100,R203),IF(U203&lt;&gt;0,IF(U203&gt;1,U203/100,U203),""))</f>
        <v/>
      </c>
      <c r="Y203" s="71">
        <v>162</v>
      </c>
      <c r="Z203" s="192" t="str">
        <f t="shared" ref="Z203:Z216" si="12">IF(X203&lt;&gt;"",IF(X203&lt;0.9,"S","F"),"")</f>
        <v/>
      </c>
      <c r="AA203" s="293"/>
      <c r="AB203" s="196" t="s">
        <v>1206</v>
      </c>
      <c r="AC203" s="196" t="s">
        <v>1207</v>
      </c>
      <c r="AD203" s="196" t="s">
        <v>1208</v>
      </c>
      <c r="AE203" s="196" t="s">
        <v>1209</v>
      </c>
      <c r="AF203" s="196" t="s">
        <v>1210</v>
      </c>
      <c r="AG203" s="196" t="s">
        <v>1211</v>
      </c>
      <c r="AH203" s="172"/>
      <c r="AI203" s="172"/>
      <c r="AJ203" s="172"/>
      <c r="AK203" s="172"/>
      <c r="AL203" s="172"/>
    </row>
    <row r="204" spans="1:38" s="45" customFormat="1">
      <c r="A204" s="53">
        <v>121</v>
      </c>
      <c r="B204" s="60" t="s">
        <v>427</v>
      </c>
      <c r="C204" s="60">
        <v>2002</v>
      </c>
      <c r="D204" s="60" t="s">
        <v>428</v>
      </c>
      <c r="E204" s="56" t="s">
        <v>430</v>
      </c>
      <c r="F204" s="54">
        <v>2002</v>
      </c>
      <c r="G204" s="54" t="s">
        <v>461</v>
      </c>
      <c r="H204" s="54" t="s">
        <v>159</v>
      </c>
      <c r="I204" s="54"/>
      <c r="J204" s="54" t="s">
        <v>1013</v>
      </c>
      <c r="K204" s="54" t="s">
        <v>1162</v>
      </c>
      <c r="L204" s="54" t="s">
        <v>462</v>
      </c>
      <c r="M204" s="54" t="s">
        <v>463</v>
      </c>
      <c r="N204" s="54" t="s">
        <v>464</v>
      </c>
      <c r="O204" s="54" t="s">
        <v>469</v>
      </c>
      <c r="P204" s="54"/>
      <c r="Q204" s="54"/>
      <c r="R204" s="54"/>
      <c r="S204" s="54"/>
      <c r="T204" s="54"/>
      <c r="U204" s="54"/>
      <c r="V204" s="54"/>
      <c r="W204" s="54"/>
      <c r="X204" s="66" t="str">
        <f t="shared" si="11"/>
        <v/>
      </c>
      <c r="Y204" s="71">
        <v>160</v>
      </c>
      <c r="Z204" s="192" t="str">
        <f t="shared" si="12"/>
        <v/>
      </c>
      <c r="AA204" s="293" t="s">
        <v>1358</v>
      </c>
      <c r="AB204" s="299">
        <f>AVERAGE($Y$203:$Y$414)</f>
        <v>128.16698746910376</v>
      </c>
      <c r="AC204" s="299">
        <f>MEDIAN($Y$203:$Y$414)</f>
        <v>122</v>
      </c>
      <c r="AD204" s="299">
        <f>MAX($Y$203:$Y$414)</f>
        <v>359</v>
      </c>
      <c r="AE204" s="299">
        <f>MIN($Y$203:$Y$414)</f>
        <v>11.2</v>
      </c>
      <c r="AF204" s="299">
        <f>STDEV($Y$203:$Y$414)</f>
        <v>63.309582345157551</v>
      </c>
      <c r="AG204" s="313">
        <f>COUNT($Y$203:$Y$414)</f>
        <v>212</v>
      </c>
      <c r="AH204" s="172"/>
      <c r="AI204" s="172"/>
      <c r="AJ204" s="172"/>
      <c r="AK204" s="172"/>
      <c r="AL204" s="172"/>
    </row>
    <row r="205" spans="1:38" s="45" customFormat="1">
      <c r="A205" s="53">
        <v>103</v>
      </c>
      <c r="B205" s="60" t="s">
        <v>311</v>
      </c>
      <c r="C205" s="60">
        <v>1994</v>
      </c>
      <c r="D205" s="60" t="s">
        <v>312</v>
      </c>
      <c r="E205" s="56" t="s">
        <v>20</v>
      </c>
      <c r="F205" s="54">
        <v>1995</v>
      </c>
      <c r="G205" s="54"/>
      <c r="H205" s="54"/>
      <c r="I205" s="54"/>
      <c r="J205" s="54" t="s">
        <v>1013</v>
      </c>
      <c r="K205" s="54" t="s">
        <v>1096</v>
      </c>
      <c r="L205" s="54" t="s">
        <v>315</v>
      </c>
      <c r="M205" s="54" t="s">
        <v>316</v>
      </c>
      <c r="N205" s="54"/>
      <c r="O205" s="54" t="s">
        <v>317</v>
      </c>
      <c r="P205" s="54"/>
      <c r="Q205" s="54"/>
      <c r="R205" s="54"/>
      <c r="S205" s="54"/>
      <c r="T205" s="54"/>
      <c r="U205" s="54"/>
      <c r="V205" s="54"/>
      <c r="W205" s="54"/>
      <c r="X205" s="66" t="str">
        <f t="shared" si="11"/>
        <v/>
      </c>
      <c r="Y205" s="71">
        <v>150</v>
      </c>
      <c r="Z205" s="192" t="str">
        <f t="shared" si="12"/>
        <v/>
      </c>
      <c r="AA205" s="293" t="s">
        <v>1310</v>
      </c>
      <c r="AB205" s="197">
        <f>AVERAGE($Y$217:$Y$224,$Y$236:$Y$306)</f>
        <v>76.780494529746832</v>
      </c>
      <c r="AC205" s="197">
        <f>MEDIAN($Y$217:$Y$224,$Y$236:$Y$306)</f>
        <v>82</v>
      </c>
      <c r="AD205" s="197">
        <f>MAX($Y$217:$Y$224,$Y$236:$Y$306)</f>
        <v>162.16666666666666</v>
      </c>
      <c r="AE205" s="197">
        <f>MIN($Y$217:$Y$224,$Y$236:$Y$306)</f>
        <v>11.2</v>
      </c>
      <c r="AF205" s="197">
        <f>STDEV($Y$217:$Y$224,$Y$236:$Y$306)</f>
        <v>30.493031345317878</v>
      </c>
      <c r="AG205" s="312">
        <f>COUNT($Y$217:$Y$224,$Y$236:$Y$306)</f>
        <v>79</v>
      </c>
      <c r="AH205" s="172"/>
      <c r="AI205" s="172"/>
      <c r="AJ205" s="172"/>
      <c r="AK205" s="172"/>
      <c r="AL205" s="172"/>
    </row>
    <row r="206" spans="1:38" s="45" customFormat="1">
      <c r="A206" s="53">
        <v>37</v>
      </c>
      <c r="B206" s="60" t="s">
        <v>45</v>
      </c>
      <c r="C206" s="60">
        <v>1982</v>
      </c>
      <c r="D206" s="60" t="s">
        <v>92</v>
      </c>
      <c r="E206" s="56" t="s">
        <v>49</v>
      </c>
      <c r="F206" s="69">
        <v>29781</v>
      </c>
      <c r="G206" s="54" t="s">
        <v>94</v>
      </c>
      <c r="H206" s="54" t="s">
        <v>95</v>
      </c>
      <c r="I206" s="54"/>
      <c r="J206" s="54" t="s">
        <v>1013</v>
      </c>
      <c r="K206" s="54" t="s">
        <v>1134</v>
      </c>
      <c r="L206" s="54" t="s">
        <v>96</v>
      </c>
      <c r="M206" s="54"/>
      <c r="N206" s="54"/>
      <c r="O206" s="54" t="s">
        <v>99</v>
      </c>
      <c r="P206" s="54"/>
      <c r="Q206" s="54"/>
      <c r="R206" s="54"/>
      <c r="S206" s="54"/>
      <c r="T206" s="54"/>
      <c r="U206" s="54"/>
      <c r="V206" s="54"/>
      <c r="W206" s="54"/>
      <c r="X206" s="66" t="str">
        <f t="shared" si="11"/>
        <v/>
      </c>
      <c r="Y206" s="71">
        <v>135.6</v>
      </c>
      <c r="Z206" s="192" t="str">
        <f t="shared" si="12"/>
        <v/>
      </c>
      <c r="AA206" s="293" t="s">
        <v>1311</v>
      </c>
      <c r="AB206" s="197">
        <f>AVERAGE($Y$225:$Y$235,$Y$307:$Y$387)</f>
        <v>146.23415516956521</v>
      </c>
      <c r="AC206" s="197">
        <f>MEDIAN($Y$225:$Y$235,$Y$307:$Y$387)</f>
        <v>141.35</v>
      </c>
      <c r="AD206" s="197">
        <f>MAX($Y$225:$Y$235,$Y$307:$Y$387)</f>
        <v>263</v>
      </c>
      <c r="AE206" s="197">
        <f>MIN($Y$225:$Y$235,$Y$307:$Y$387)</f>
        <v>73</v>
      </c>
      <c r="AF206" s="197">
        <f>STDEV($Y$225:$Y$235,$Y$307:$Y$387)</f>
        <v>33.487402209574753</v>
      </c>
      <c r="AG206" s="312">
        <f>COUNT($Y$225:$Y$235,$Y$307:$Y$387)</f>
        <v>92</v>
      </c>
      <c r="AH206" s="172"/>
      <c r="AI206" s="172"/>
      <c r="AJ206" s="172"/>
      <c r="AK206" s="172"/>
      <c r="AL206" s="172"/>
    </row>
    <row r="207" spans="1:38" s="45" customFormat="1">
      <c r="A207" s="53">
        <v>63</v>
      </c>
      <c r="B207" s="60" t="s">
        <v>168</v>
      </c>
      <c r="C207" s="60">
        <v>1989</v>
      </c>
      <c r="D207" s="60" t="s">
        <v>169</v>
      </c>
      <c r="E207" s="56" t="s">
        <v>172</v>
      </c>
      <c r="F207" s="69">
        <v>32022</v>
      </c>
      <c r="G207" s="54" t="s">
        <v>176</v>
      </c>
      <c r="H207" s="54" t="s">
        <v>95</v>
      </c>
      <c r="I207" s="54" t="s">
        <v>1014</v>
      </c>
      <c r="J207" s="66" t="s">
        <v>1013</v>
      </c>
      <c r="K207" s="54" t="s">
        <v>1042</v>
      </c>
      <c r="L207" s="54" t="s">
        <v>177</v>
      </c>
      <c r="M207" s="54"/>
      <c r="N207" s="54"/>
      <c r="O207" s="54" t="s">
        <v>178</v>
      </c>
      <c r="P207" s="54"/>
      <c r="Q207" s="54"/>
      <c r="R207" s="54"/>
      <c r="S207" s="54"/>
      <c r="T207" s="54"/>
      <c r="U207" s="54"/>
      <c r="V207" s="54"/>
      <c r="W207" s="54"/>
      <c r="X207" s="66" t="str">
        <f t="shared" si="11"/>
        <v/>
      </c>
      <c r="Y207" s="71">
        <v>106</v>
      </c>
      <c r="Z207" s="192" t="str">
        <f t="shared" si="12"/>
        <v/>
      </c>
      <c r="AA207" s="196" t="s">
        <v>1374</v>
      </c>
      <c r="AB207" s="197">
        <f>AVERAGE($Y$388:$Y$414)</f>
        <v>235.37037037037038</v>
      </c>
      <c r="AC207" s="197">
        <f>MEDIAN($Y$388:$Y$414)</f>
        <v>222</v>
      </c>
      <c r="AD207" s="197">
        <f>MAX($Y$388:$Y$414)</f>
        <v>359</v>
      </c>
      <c r="AE207" s="197">
        <f>MIN($Y$388:$Y$414)</f>
        <v>156</v>
      </c>
      <c r="AF207" s="197">
        <f>STDEV($Y$388:$Y$414)</f>
        <v>54.519684623042487</v>
      </c>
      <c r="AG207" s="312">
        <f>COUNT($Y$388:$Y$414)</f>
        <v>27</v>
      </c>
      <c r="AH207" s="172"/>
      <c r="AI207" s="172"/>
      <c r="AJ207" s="172"/>
      <c r="AK207" s="172"/>
      <c r="AL207" s="172"/>
    </row>
    <row r="208" spans="1:38" s="45" customFormat="1">
      <c r="A208" s="53">
        <v>37</v>
      </c>
      <c r="B208" s="60" t="s">
        <v>45</v>
      </c>
      <c r="C208" s="60">
        <v>1982</v>
      </c>
      <c r="D208" s="60" t="s">
        <v>92</v>
      </c>
      <c r="E208" s="56" t="s">
        <v>49</v>
      </c>
      <c r="F208" s="54">
        <v>1989</v>
      </c>
      <c r="G208" s="54" t="s">
        <v>94</v>
      </c>
      <c r="H208" s="54" t="s">
        <v>95</v>
      </c>
      <c r="I208" s="54"/>
      <c r="J208" s="54" t="s">
        <v>1013</v>
      </c>
      <c r="K208" s="54" t="s">
        <v>1134</v>
      </c>
      <c r="L208" s="54" t="s">
        <v>96</v>
      </c>
      <c r="M208" s="54"/>
      <c r="N208" s="54"/>
      <c r="O208" s="54" t="s">
        <v>100</v>
      </c>
      <c r="P208" s="54"/>
      <c r="Q208" s="54"/>
      <c r="R208" s="54"/>
      <c r="S208" s="54"/>
      <c r="T208" s="54"/>
      <c r="U208" s="54"/>
      <c r="V208" s="54"/>
      <c r="W208" s="54"/>
      <c r="X208" s="66" t="str">
        <f t="shared" si="11"/>
        <v/>
      </c>
      <c r="Y208" s="71">
        <v>102</v>
      </c>
      <c r="Z208" s="192" t="str">
        <f t="shared" si="12"/>
        <v/>
      </c>
      <c r="AA208" s="66"/>
      <c r="AB208" s="66"/>
      <c r="AC208" s="66"/>
      <c r="AD208" s="172"/>
      <c r="AE208" s="172"/>
      <c r="AF208" s="172"/>
      <c r="AG208" s="172"/>
      <c r="AH208" s="172"/>
      <c r="AI208" s="172"/>
      <c r="AJ208" s="172"/>
      <c r="AK208" s="172"/>
      <c r="AL208" s="172"/>
    </row>
    <row r="209" spans="1:38" s="45" customFormat="1">
      <c r="A209" s="53">
        <v>37</v>
      </c>
      <c r="B209" s="60" t="s">
        <v>45</v>
      </c>
      <c r="C209" s="60">
        <v>1982</v>
      </c>
      <c r="D209" s="60" t="s">
        <v>92</v>
      </c>
      <c r="E209" s="56" t="s">
        <v>49</v>
      </c>
      <c r="F209" s="69">
        <v>29781</v>
      </c>
      <c r="G209" s="54" t="s">
        <v>94</v>
      </c>
      <c r="H209" s="54" t="s">
        <v>95</v>
      </c>
      <c r="I209" s="54"/>
      <c r="J209" s="54" t="s">
        <v>1013</v>
      </c>
      <c r="K209" s="54" t="s">
        <v>1134</v>
      </c>
      <c r="L209" s="54" t="s">
        <v>96</v>
      </c>
      <c r="M209" s="54"/>
      <c r="N209" s="54"/>
      <c r="O209" s="54" t="s">
        <v>97</v>
      </c>
      <c r="P209" s="54"/>
      <c r="Q209" s="54"/>
      <c r="R209" s="54"/>
      <c r="S209" s="54"/>
      <c r="T209" s="54"/>
      <c r="U209" s="54"/>
      <c r="V209" s="54"/>
      <c r="W209" s="54"/>
      <c r="X209" s="66" t="str">
        <f t="shared" si="11"/>
        <v/>
      </c>
      <c r="Y209" s="71">
        <v>92.8</v>
      </c>
      <c r="Z209" s="192" t="str">
        <f t="shared" si="12"/>
        <v/>
      </c>
      <c r="AA209" s="66"/>
      <c r="AB209" s="66"/>
      <c r="AC209" s="66"/>
      <c r="AD209" s="172"/>
      <c r="AE209" s="172"/>
      <c r="AF209" s="172"/>
      <c r="AG209" s="172"/>
      <c r="AH209" s="172"/>
      <c r="AI209" s="172"/>
      <c r="AJ209" s="172"/>
      <c r="AK209" s="172"/>
      <c r="AL209" s="172"/>
    </row>
    <row r="210" spans="1:38" s="45" customFormat="1">
      <c r="A210" s="53">
        <v>63</v>
      </c>
      <c r="B210" s="60" t="s">
        <v>168</v>
      </c>
      <c r="C210" s="60">
        <v>1989</v>
      </c>
      <c r="D210" s="60" t="s">
        <v>169</v>
      </c>
      <c r="E210" s="56" t="s">
        <v>172</v>
      </c>
      <c r="F210" s="54" t="s">
        <v>179</v>
      </c>
      <c r="G210" s="54" t="s">
        <v>153</v>
      </c>
      <c r="H210" s="54" t="s">
        <v>95</v>
      </c>
      <c r="I210" s="54" t="s">
        <v>1014</v>
      </c>
      <c r="J210" s="66" t="s">
        <v>1013</v>
      </c>
      <c r="K210" s="54" t="s">
        <v>1042</v>
      </c>
      <c r="L210" s="54" t="s">
        <v>180</v>
      </c>
      <c r="M210" s="54"/>
      <c r="N210" s="54"/>
      <c r="O210" s="54" t="s">
        <v>155</v>
      </c>
      <c r="P210" s="54"/>
      <c r="Q210" s="54"/>
      <c r="R210" s="54"/>
      <c r="S210" s="54"/>
      <c r="T210" s="54"/>
      <c r="U210" s="54"/>
      <c r="V210" s="54"/>
      <c r="W210" s="54"/>
      <c r="X210" s="66" t="str">
        <f t="shared" si="11"/>
        <v/>
      </c>
      <c r="Y210" s="71">
        <v>89</v>
      </c>
      <c r="Z210" s="192" t="str">
        <f t="shared" si="12"/>
        <v/>
      </c>
      <c r="AA210" s="66"/>
      <c r="AB210" s="66"/>
      <c r="AC210" s="66"/>
      <c r="AD210" s="172"/>
      <c r="AE210" s="172"/>
      <c r="AF210" s="172"/>
      <c r="AG210" s="172"/>
      <c r="AH210" s="172"/>
      <c r="AI210" s="172"/>
      <c r="AJ210" s="172"/>
      <c r="AK210" s="172"/>
      <c r="AL210" s="172"/>
    </row>
    <row r="211" spans="1:38" s="45" customFormat="1">
      <c r="A211" s="53">
        <v>37</v>
      </c>
      <c r="B211" s="60" t="s">
        <v>45</v>
      </c>
      <c r="C211" s="60">
        <v>1982</v>
      </c>
      <c r="D211" s="60" t="s">
        <v>92</v>
      </c>
      <c r="E211" s="56" t="s">
        <v>49</v>
      </c>
      <c r="F211" s="69">
        <v>29781</v>
      </c>
      <c r="G211" s="54" t="s">
        <v>94</v>
      </c>
      <c r="H211" s="54" t="s">
        <v>95</v>
      </c>
      <c r="I211" s="54"/>
      <c r="J211" s="54" t="s">
        <v>1013</v>
      </c>
      <c r="K211" s="54" t="s">
        <v>1134</v>
      </c>
      <c r="L211" s="54" t="s">
        <v>96</v>
      </c>
      <c r="M211" s="54"/>
      <c r="N211" s="54"/>
      <c r="O211" s="54" t="s">
        <v>98</v>
      </c>
      <c r="P211" s="54"/>
      <c r="Q211" s="54"/>
      <c r="R211" s="54"/>
      <c r="S211" s="54"/>
      <c r="T211" s="54"/>
      <c r="U211" s="54"/>
      <c r="V211" s="54"/>
      <c r="W211" s="54"/>
      <c r="X211" s="66" t="str">
        <f t="shared" si="11"/>
        <v/>
      </c>
      <c r="Y211" s="71">
        <v>76.8</v>
      </c>
      <c r="Z211" s="192" t="str">
        <f t="shared" si="12"/>
        <v/>
      </c>
      <c r="AA211" s="66"/>
      <c r="AB211" s="66"/>
      <c r="AC211" s="66"/>
      <c r="AD211" s="172"/>
      <c r="AE211" s="172"/>
      <c r="AF211" s="172"/>
      <c r="AG211" s="172"/>
      <c r="AH211" s="172"/>
      <c r="AI211" s="172"/>
      <c r="AJ211" s="172"/>
      <c r="AK211" s="172"/>
      <c r="AL211" s="172"/>
    </row>
    <row r="212" spans="1:38" s="45" customFormat="1">
      <c r="A212" s="53">
        <v>4</v>
      </c>
      <c r="B212" s="60" t="s">
        <v>16</v>
      </c>
      <c r="C212" s="60">
        <v>1969</v>
      </c>
      <c r="D212" s="60" t="s">
        <v>17</v>
      </c>
      <c r="E212" s="56" t="s">
        <v>20</v>
      </c>
      <c r="F212" s="54">
        <v>1968</v>
      </c>
      <c r="G212" s="54" t="s">
        <v>21</v>
      </c>
      <c r="H212" s="54" t="s">
        <v>23</v>
      </c>
      <c r="I212" s="54"/>
      <c r="J212" s="54" t="s">
        <v>1013</v>
      </c>
      <c r="K212" s="54" t="s">
        <v>1169</v>
      </c>
      <c r="L212" s="54" t="s">
        <v>29</v>
      </c>
      <c r="M212" s="54"/>
      <c r="N212" s="54"/>
      <c r="O212" s="54" t="s">
        <v>31</v>
      </c>
      <c r="P212" s="54"/>
      <c r="Q212" s="54"/>
      <c r="R212" s="54"/>
      <c r="S212" s="54"/>
      <c r="T212" s="54"/>
      <c r="U212" s="54"/>
      <c r="V212" s="54"/>
      <c r="W212" s="54"/>
      <c r="X212" s="66" t="str">
        <f t="shared" si="11"/>
        <v/>
      </c>
      <c r="Y212" s="71">
        <v>59</v>
      </c>
      <c r="Z212" s="192" t="str">
        <f t="shared" si="12"/>
        <v/>
      </c>
      <c r="AA212" s="66"/>
      <c r="AB212" s="66"/>
      <c r="AC212" s="66"/>
      <c r="AD212" s="172"/>
      <c r="AE212" s="172"/>
      <c r="AF212" s="172"/>
      <c r="AG212" s="172"/>
      <c r="AH212" s="172"/>
      <c r="AI212" s="172"/>
      <c r="AJ212" s="172"/>
      <c r="AK212" s="172"/>
      <c r="AL212" s="172"/>
    </row>
    <row r="213" spans="1:38" s="45" customFormat="1">
      <c r="A213" s="53">
        <v>4</v>
      </c>
      <c r="B213" s="60" t="s">
        <v>16</v>
      </c>
      <c r="C213" s="60">
        <v>1969</v>
      </c>
      <c r="D213" s="60" t="s">
        <v>17</v>
      </c>
      <c r="E213" s="56" t="s">
        <v>20</v>
      </c>
      <c r="F213" s="54">
        <v>1968</v>
      </c>
      <c r="G213" s="54" t="s">
        <v>21</v>
      </c>
      <c r="H213" s="54" t="s">
        <v>23</v>
      </c>
      <c r="I213" s="54"/>
      <c r="J213" s="54" t="s">
        <v>1013</v>
      </c>
      <c r="K213" s="54" t="s">
        <v>1169</v>
      </c>
      <c r="L213" s="54" t="s">
        <v>29</v>
      </c>
      <c r="M213" s="54"/>
      <c r="N213" s="54"/>
      <c r="O213" s="54" t="s">
        <v>30</v>
      </c>
      <c r="P213" s="54"/>
      <c r="Q213" s="54"/>
      <c r="R213" s="54"/>
      <c r="S213" s="54"/>
      <c r="T213" s="54"/>
      <c r="U213" s="54"/>
      <c r="V213" s="54"/>
      <c r="W213" s="54"/>
      <c r="X213" s="66" t="str">
        <f t="shared" si="11"/>
        <v/>
      </c>
      <c r="Y213" s="71">
        <v>56</v>
      </c>
      <c r="Z213" s="192" t="str">
        <f t="shared" si="12"/>
        <v/>
      </c>
      <c r="AA213" s="66"/>
      <c r="AB213" s="66"/>
      <c r="AC213" s="66"/>
      <c r="AD213" s="172"/>
      <c r="AE213" s="172"/>
      <c r="AF213" s="172"/>
      <c r="AG213" s="172"/>
      <c r="AH213" s="172"/>
      <c r="AI213" s="172"/>
      <c r="AJ213" s="172"/>
      <c r="AK213" s="172"/>
      <c r="AL213" s="172"/>
    </row>
    <row r="214" spans="1:38" s="45" customFormat="1">
      <c r="A214" s="53">
        <v>4</v>
      </c>
      <c r="B214" s="60" t="s">
        <v>16</v>
      </c>
      <c r="C214" s="60">
        <v>1969</v>
      </c>
      <c r="D214" s="60" t="s">
        <v>17</v>
      </c>
      <c r="E214" s="56" t="s">
        <v>20</v>
      </c>
      <c r="F214" s="54">
        <v>1968</v>
      </c>
      <c r="G214" s="54" t="s">
        <v>21</v>
      </c>
      <c r="H214" s="54" t="s">
        <v>23</v>
      </c>
      <c r="I214" s="54"/>
      <c r="J214" s="54" t="s">
        <v>1013</v>
      </c>
      <c r="K214" s="54" t="s">
        <v>1168</v>
      </c>
      <c r="L214" s="54" t="s">
        <v>24</v>
      </c>
      <c r="M214" s="54"/>
      <c r="N214" s="54"/>
      <c r="O214" s="54" t="s">
        <v>26</v>
      </c>
      <c r="P214" s="54"/>
      <c r="Q214" s="54"/>
      <c r="R214" s="54"/>
      <c r="S214" s="54"/>
      <c r="T214" s="54"/>
      <c r="U214" s="54"/>
      <c r="V214" s="54"/>
      <c r="W214" s="54"/>
      <c r="X214" s="66" t="str">
        <f t="shared" si="11"/>
        <v/>
      </c>
      <c r="Y214" s="71">
        <v>46</v>
      </c>
      <c r="Z214" s="192" t="str">
        <f t="shared" si="12"/>
        <v/>
      </c>
      <c r="AA214" s="66"/>
      <c r="AB214" s="66"/>
      <c r="AC214" s="66"/>
      <c r="AD214" s="172"/>
      <c r="AE214" s="172"/>
      <c r="AF214" s="172"/>
      <c r="AG214" s="172"/>
      <c r="AH214" s="172"/>
      <c r="AI214" s="172"/>
      <c r="AJ214" s="172"/>
      <c r="AK214" s="172"/>
      <c r="AL214" s="172"/>
    </row>
    <row r="215" spans="1:38" s="45" customFormat="1">
      <c r="A215" s="53">
        <v>4</v>
      </c>
      <c r="B215" s="60" t="s">
        <v>16</v>
      </c>
      <c r="C215" s="60">
        <v>1969</v>
      </c>
      <c r="D215" s="60" t="s">
        <v>17</v>
      </c>
      <c r="E215" s="56" t="s">
        <v>20</v>
      </c>
      <c r="F215" s="54">
        <v>1968</v>
      </c>
      <c r="G215" s="54" t="s">
        <v>21</v>
      </c>
      <c r="H215" s="54" t="s">
        <v>23</v>
      </c>
      <c r="I215" s="54"/>
      <c r="J215" s="54" t="s">
        <v>1013</v>
      </c>
      <c r="K215" s="54" t="s">
        <v>1087</v>
      </c>
      <c r="L215" s="54" t="s">
        <v>27</v>
      </c>
      <c r="M215" s="54"/>
      <c r="N215" s="54"/>
      <c r="O215" s="54" t="s">
        <v>28</v>
      </c>
      <c r="P215" s="54"/>
      <c r="Q215" s="54"/>
      <c r="R215" s="54"/>
      <c r="S215" s="54"/>
      <c r="T215" s="54"/>
      <c r="U215" s="54"/>
      <c r="V215" s="54"/>
      <c r="W215" s="54"/>
      <c r="X215" s="66" t="str">
        <f t="shared" si="11"/>
        <v/>
      </c>
      <c r="Y215" s="71">
        <v>32</v>
      </c>
      <c r="Z215" s="192" t="str">
        <f t="shared" si="12"/>
        <v/>
      </c>
      <c r="AA215" s="66"/>
      <c r="AB215" s="66"/>
      <c r="AC215" s="66"/>
      <c r="AD215" s="172"/>
      <c r="AE215" s="172"/>
      <c r="AF215" s="172"/>
      <c r="AG215" s="172"/>
      <c r="AH215" s="172"/>
      <c r="AI215" s="172"/>
      <c r="AJ215" s="172"/>
      <c r="AK215" s="172"/>
      <c r="AL215" s="172"/>
    </row>
    <row r="216" spans="1:38" s="45" customFormat="1">
      <c r="A216" s="53">
        <v>4</v>
      </c>
      <c r="B216" s="60" t="s">
        <v>16</v>
      </c>
      <c r="C216" s="60">
        <v>1969</v>
      </c>
      <c r="D216" s="60" t="s">
        <v>17</v>
      </c>
      <c r="E216" s="56" t="s">
        <v>20</v>
      </c>
      <c r="F216" s="54">
        <v>1968</v>
      </c>
      <c r="G216" s="54" t="s">
        <v>21</v>
      </c>
      <c r="H216" s="54" t="s">
        <v>23</v>
      </c>
      <c r="I216" s="54"/>
      <c r="J216" s="54" t="s">
        <v>1013</v>
      </c>
      <c r="K216" s="54" t="s">
        <v>1168</v>
      </c>
      <c r="L216" s="54" t="s">
        <v>24</v>
      </c>
      <c r="M216" s="54"/>
      <c r="N216" s="54"/>
      <c r="O216" s="54" t="s">
        <v>25</v>
      </c>
      <c r="P216" s="54"/>
      <c r="Q216" s="54"/>
      <c r="R216" s="54"/>
      <c r="S216" s="54"/>
      <c r="T216" s="54"/>
      <c r="U216" s="54"/>
      <c r="V216" s="54"/>
      <c r="W216" s="54"/>
      <c r="X216" s="66" t="str">
        <f t="shared" si="11"/>
        <v/>
      </c>
      <c r="Y216" s="71">
        <v>30</v>
      </c>
      <c r="Z216" s="192" t="str">
        <f t="shared" si="12"/>
        <v/>
      </c>
      <c r="AA216" s="66"/>
      <c r="AB216" s="66"/>
      <c r="AC216" s="66"/>
      <c r="AD216" s="172"/>
      <c r="AE216" s="172"/>
      <c r="AF216" s="172"/>
      <c r="AG216" s="172"/>
      <c r="AH216" s="172"/>
      <c r="AI216" s="172"/>
      <c r="AJ216" s="172"/>
      <c r="AK216" s="172"/>
      <c r="AL216" s="172"/>
    </row>
    <row r="217" spans="1:38" s="45" customFormat="1">
      <c r="A217" s="66"/>
      <c r="B217" s="67" t="s">
        <v>968</v>
      </c>
      <c r="C217" s="171">
        <v>1996</v>
      </c>
      <c r="D217" s="66"/>
      <c r="E217" s="73" t="s">
        <v>172</v>
      </c>
      <c r="F217" s="66"/>
      <c r="G217" s="66"/>
      <c r="H217" s="67" t="s">
        <v>23</v>
      </c>
      <c r="I217" s="67"/>
      <c r="J217" s="66" t="s">
        <v>1013</v>
      </c>
      <c r="K217" s="67" t="s">
        <v>1006</v>
      </c>
      <c r="L217" s="67" t="s">
        <v>1006</v>
      </c>
      <c r="M217" s="67" t="s">
        <v>1007</v>
      </c>
      <c r="N217" s="67"/>
      <c r="O217" s="67" t="s">
        <v>1008</v>
      </c>
      <c r="P217" s="66"/>
      <c r="Q217" s="66"/>
      <c r="R217" s="66"/>
      <c r="S217" s="66"/>
      <c r="T217" s="66"/>
      <c r="U217" s="66"/>
      <c r="V217" s="66">
        <f>139*28/12/2</f>
        <v>162.16666666666666</v>
      </c>
      <c r="W217" s="66"/>
      <c r="X217" s="66" t="str">
        <f t="shared" si="11"/>
        <v/>
      </c>
      <c r="Y217" s="206">
        <f>139*28/12/2</f>
        <v>162.16666666666666</v>
      </c>
      <c r="Z217" s="192" t="s">
        <v>1192</v>
      </c>
      <c r="AA217"/>
      <c r="AB217"/>
      <c r="AC217"/>
      <c r="AD217"/>
      <c r="AE217"/>
      <c r="AF217"/>
      <c r="AG217"/>
      <c r="AH217" s="172"/>
      <c r="AI217" s="172"/>
      <c r="AJ217" s="172"/>
      <c r="AK217" s="172"/>
      <c r="AL217" s="172"/>
    </row>
    <row r="218" spans="1:38" s="45" customFormat="1">
      <c r="A218" s="66"/>
      <c r="B218" s="67" t="s">
        <v>968</v>
      </c>
      <c r="C218" s="171">
        <v>1996</v>
      </c>
      <c r="D218" s="66"/>
      <c r="E218" s="73" t="s">
        <v>172</v>
      </c>
      <c r="F218" s="66"/>
      <c r="G218" s="66"/>
      <c r="H218" s="67" t="s">
        <v>23</v>
      </c>
      <c r="I218" s="67"/>
      <c r="J218" s="66" t="s">
        <v>1013</v>
      </c>
      <c r="K218" s="67" t="s">
        <v>1002</v>
      </c>
      <c r="L218" s="67" t="s">
        <v>1002</v>
      </c>
      <c r="M218" s="67" t="s">
        <v>1003</v>
      </c>
      <c r="N218" s="67"/>
      <c r="O218" s="67" t="s">
        <v>1005</v>
      </c>
      <c r="P218" s="66"/>
      <c r="Q218" s="66"/>
      <c r="R218" s="66"/>
      <c r="S218" s="66"/>
      <c r="T218" s="66"/>
      <c r="U218" s="66"/>
      <c r="V218" s="66">
        <f>118*28/12/2</f>
        <v>137.66666666666666</v>
      </c>
      <c r="W218" s="66"/>
      <c r="X218" s="66" t="str">
        <f t="shared" si="11"/>
        <v/>
      </c>
      <c r="Y218" s="206">
        <f>118*28/12/2</f>
        <v>137.66666666666666</v>
      </c>
      <c r="Z218" s="192" t="s">
        <v>1192</v>
      </c>
      <c r="AA218"/>
      <c r="AB218"/>
      <c r="AC218"/>
      <c r="AD218"/>
      <c r="AE218"/>
      <c r="AF218"/>
      <c r="AG218"/>
      <c r="AH218" s="172"/>
      <c r="AI218" s="172"/>
      <c r="AJ218" s="172"/>
      <c r="AK218" s="172"/>
      <c r="AL218" s="172"/>
    </row>
    <row r="219" spans="1:38" s="45" customFormat="1">
      <c r="A219" s="53">
        <v>35</v>
      </c>
      <c r="B219" s="60" t="s">
        <v>45</v>
      </c>
      <c r="C219" s="60">
        <v>1982</v>
      </c>
      <c r="D219" s="60" t="s">
        <v>46</v>
      </c>
      <c r="E219" s="56" t="s">
        <v>49</v>
      </c>
      <c r="F219" s="54" t="s">
        <v>50</v>
      </c>
      <c r="G219" s="54" t="s">
        <v>51</v>
      </c>
      <c r="H219" s="54" t="s">
        <v>23</v>
      </c>
      <c r="I219" s="54"/>
      <c r="J219" s="54" t="s">
        <v>1013</v>
      </c>
      <c r="K219" s="54" t="s">
        <v>1134</v>
      </c>
      <c r="L219" s="54" t="s">
        <v>52</v>
      </c>
      <c r="M219" s="54"/>
      <c r="N219" s="54"/>
      <c r="O219" s="54" t="s">
        <v>53</v>
      </c>
      <c r="P219" s="54"/>
      <c r="Q219" s="54"/>
      <c r="R219" s="54"/>
      <c r="S219" s="54"/>
      <c r="T219" s="54"/>
      <c r="U219" s="54"/>
      <c r="V219" s="54"/>
      <c r="W219" s="54"/>
      <c r="X219" s="66" t="str">
        <f t="shared" si="11"/>
        <v/>
      </c>
      <c r="Y219" s="71">
        <v>87</v>
      </c>
      <c r="Z219" s="192" t="s">
        <v>1192</v>
      </c>
      <c r="AA219"/>
      <c r="AB219"/>
      <c r="AC219"/>
      <c r="AD219"/>
      <c r="AE219"/>
      <c r="AF219"/>
      <c r="AG219"/>
      <c r="AI219" s="172"/>
      <c r="AJ219" s="172"/>
      <c r="AK219" s="172"/>
      <c r="AL219" s="172"/>
    </row>
    <row r="220" spans="1:38" s="45" customFormat="1">
      <c r="A220" s="53">
        <v>35</v>
      </c>
      <c r="B220" s="60" t="s">
        <v>45</v>
      </c>
      <c r="C220" s="60">
        <v>1982</v>
      </c>
      <c r="D220" s="60" t="s">
        <v>46</v>
      </c>
      <c r="E220" s="56" t="s">
        <v>49</v>
      </c>
      <c r="F220" s="54" t="s">
        <v>50</v>
      </c>
      <c r="G220" s="54" t="s">
        <v>51</v>
      </c>
      <c r="H220" s="54" t="s">
        <v>23</v>
      </c>
      <c r="I220" s="54"/>
      <c r="J220" s="54" t="s">
        <v>1013</v>
      </c>
      <c r="K220" s="54" t="s">
        <v>1134</v>
      </c>
      <c r="L220" s="54" t="s">
        <v>52</v>
      </c>
      <c r="M220" s="54"/>
      <c r="N220" s="54"/>
      <c r="O220" s="54" t="s">
        <v>54</v>
      </c>
      <c r="P220" s="54"/>
      <c r="Q220" s="54"/>
      <c r="R220" s="54"/>
      <c r="S220" s="54"/>
      <c r="T220" s="54"/>
      <c r="U220" s="54"/>
      <c r="V220" s="54"/>
      <c r="W220" s="54"/>
      <c r="X220" s="66" t="str">
        <f t="shared" si="11"/>
        <v/>
      </c>
      <c r="Y220" s="71">
        <v>64</v>
      </c>
      <c r="Z220" s="192" t="s">
        <v>1192</v>
      </c>
      <c r="AA220"/>
      <c r="AB220"/>
      <c r="AC220"/>
      <c r="AD220"/>
      <c r="AE220"/>
      <c r="AF220"/>
      <c r="AG220"/>
      <c r="AI220" s="172"/>
      <c r="AJ220" s="172"/>
      <c r="AK220" s="172"/>
      <c r="AL220" s="172"/>
    </row>
    <row r="221" spans="1:38" s="45" customFormat="1">
      <c r="A221" s="53">
        <v>35</v>
      </c>
      <c r="B221" s="60" t="s">
        <v>45</v>
      </c>
      <c r="C221" s="60">
        <v>1982</v>
      </c>
      <c r="D221" s="60" t="s">
        <v>46</v>
      </c>
      <c r="E221" s="56" t="s">
        <v>49</v>
      </c>
      <c r="F221" s="54" t="s">
        <v>50</v>
      </c>
      <c r="G221" s="54" t="s">
        <v>51</v>
      </c>
      <c r="H221" s="54" t="s">
        <v>23</v>
      </c>
      <c r="I221" s="54"/>
      <c r="J221" s="54" t="s">
        <v>1013</v>
      </c>
      <c r="K221" s="54" t="s">
        <v>1134</v>
      </c>
      <c r="L221" s="54" t="s">
        <v>52</v>
      </c>
      <c r="M221" s="54"/>
      <c r="N221" s="54"/>
      <c r="O221" s="54" t="s">
        <v>56</v>
      </c>
      <c r="P221" s="54"/>
      <c r="Q221" s="54"/>
      <c r="R221" s="54"/>
      <c r="S221" s="54"/>
      <c r="T221" s="54"/>
      <c r="U221" s="54"/>
      <c r="V221" s="54"/>
      <c r="W221" s="54"/>
      <c r="X221" s="66" t="str">
        <f t="shared" si="11"/>
        <v/>
      </c>
      <c r="Y221" s="71">
        <v>59</v>
      </c>
      <c r="Z221" s="192" t="s">
        <v>1192</v>
      </c>
      <c r="AI221" s="172"/>
      <c r="AJ221" s="172"/>
      <c r="AK221" s="172"/>
      <c r="AL221" s="172"/>
    </row>
    <row r="222" spans="1:38" s="45" customFormat="1">
      <c r="A222" s="53">
        <v>35</v>
      </c>
      <c r="B222" s="60" t="s">
        <v>45</v>
      </c>
      <c r="C222" s="60">
        <v>1982</v>
      </c>
      <c r="D222" s="60" t="s">
        <v>46</v>
      </c>
      <c r="E222" s="56" t="s">
        <v>49</v>
      </c>
      <c r="F222" s="54" t="s">
        <v>50</v>
      </c>
      <c r="G222" s="54" t="s">
        <v>51</v>
      </c>
      <c r="H222" s="54" t="s">
        <v>23</v>
      </c>
      <c r="I222" s="54"/>
      <c r="J222" s="54" t="s">
        <v>1013</v>
      </c>
      <c r="K222" s="54" t="s">
        <v>1134</v>
      </c>
      <c r="L222" s="54" t="s">
        <v>52</v>
      </c>
      <c r="M222" s="54"/>
      <c r="N222" s="54"/>
      <c r="O222" s="54" t="s">
        <v>57</v>
      </c>
      <c r="P222" s="54"/>
      <c r="Q222" s="54"/>
      <c r="R222" s="54"/>
      <c r="S222" s="54"/>
      <c r="T222" s="54"/>
      <c r="U222" s="54"/>
      <c r="V222" s="54"/>
      <c r="W222" s="54"/>
      <c r="X222" s="66" t="str">
        <f t="shared" si="11"/>
        <v/>
      </c>
      <c r="Y222" s="71">
        <v>56</v>
      </c>
      <c r="Z222" s="192" t="s">
        <v>1192</v>
      </c>
      <c r="AA222" s="66"/>
      <c r="AB222" s="66"/>
      <c r="AC222" s="66"/>
      <c r="AD222" s="172"/>
      <c r="AE222" s="172"/>
      <c r="AF222" s="172"/>
      <c r="AG222" s="172"/>
      <c r="AH222" s="172"/>
      <c r="AI222" s="172"/>
      <c r="AJ222" s="172"/>
      <c r="AK222" s="172"/>
      <c r="AL222" s="172"/>
    </row>
    <row r="223" spans="1:38" s="45" customFormat="1">
      <c r="A223" s="53">
        <v>35</v>
      </c>
      <c r="B223" s="60" t="s">
        <v>45</v>
      </c>
      <c r="C223" s="60">
        <v>1982</v>
      </c>
      <c r="D223" s="60" t="s">
        <v>46</v>
      </c>
      <c r="E223" s="56" t="s">
        <v>49</v>
      </c>
      <c r="F223" s="54" t="s">
        <v>50</v>
      </c>
      <c r="G223" s="54" t="s">
        <v>51</v>
      </c>
      <c r="H223" s="54" t="s">
        <v>23</v>
      </c>
      <c r="I223" s="54"/>
      <c r="J223" s="54" t="s">
        <v>1013</v>
      </c>
      <c r="K223" s="54" t="s">
        <v>1134</v>
      </c>
      <c r="L223" s="54" t="s">
        <v>52</v>
      </c>
      <c r="M223" s="54"/>
      <c r="N223" s="54"/>
      <c r="O223" s="54" t="s">
        <v>55</v>
      </c>
      <c r="P223" s="54"/>
      <c r="Q223" s="54"/>
      <c r="R223" s="54"/>
      <c r="S223" s="54"/>
      <c r="T223" s="54"/>
      <c r="U223" s="54"/>
      <c r="V223" s="54"/>
      <c r="W223" s="54"/>
      <c r="X223" s="66" t="str">
        <f t="shared" si="11"/>
        <v/>
      </c>
      <c r="Y223" s="71">
        <v>47</v>
      </c>
      <c r="Z223" s="192" t="s">
        <v>1192</v>
      </c>
      <c r="AI223" s="172"/>
      <c r="AJ223" s="172"/>
      <c r="AK223" s="172"/>
      <c r="AL223" s="172"/>
    </row>
    <row r="224" spans="1:38" s="45" customFormat="1">
      <c r="A224" s="53">
        <v>37</v>
      </c>
      <c r="B224" s="60" t="s">
        <v>45</v>
      </c>
      <c r="C224" s="60">
        <v>1982</v>
      </c>
      <c r="D224" s="60" t="s">
        <v>92</v>
      </c>
      <c r="E224" s="56" t="s">
        <v>49</v>
      </c>
      <c r="F224" s="54">
        <v>1989</v>
      </c>
      <c r="G224" s="54" t="s">
        <v>94</v>
      </c>
      <c r="H224" s="54" t="s">
        <v>95</v>
      </c>
      <c r="I224" s="54"/>
      <c r="J224" s="54" t="s">
        <v>1013</v>
      </c>
      <c r="K224" s="54" t="s">
        <v>1134</v>
      </c>
      <c r="L224" s="54" t="s">
        <v>96</v>
      </c>
      <c r="M224" s="54"/>
      <c r="N224" s="54"/>
      <c r="O224" s="54" t="s">
        <v>102</v>
      </c>
      <c r="P224" s="54"/>
      <c r="Q224" s="54"/>
      <c r="R224" s="54"/>
      <c r="S224" s="54"/>
      <c r="T224" s="54"/>
      <c r="U224" s="54"/>
      <c r="V224" s="54">
        <v>46.2</v>
      </c>
      <c r="W224" s="54"/>
      <c r="X224" s="66" t="str">
        <f t="shared" si="11"/>
        <v/>
      </c>
      <c r="Y224" s="71">
        <f>+V224</f>
        <v>46.2</v>
      </c>
      <c r="Z224" s="192" t="s">
        <v>1192</v>
      </c>
      <c r="AA224" s="66"/>
      <c r="AB224" s="66"/>
      <c r="AC224" s="66"/>
      <c r="AD224" s="172"/>
      <c r="AE224" s="172"/>
      <c r="AF224" s="172"/>
      <c r="AG224" s="172"/>
      <c r="AH224" s="172"/>
      <c r="AI224" s="172"/>
      <c r="AJ224" s="172"/>
      <c r="AK224" s="172"/>
      <c r="AL224" s="172"/>
    </row>
    <row r="225" spans="1:38" s="45" customFormat="1">
      <c r="A225" s="53">
        <v>37</v>
      </c>
      <c r="B225" s="60" t="s">
        <v>45</v>
      </c>
      <c r="C225" s="60">
        <v>1982</v>
      </c>
      <c r="D225" s="60" t="s">
        <v>92</v>
      </c>
      <c r="E225" s="56" t="s">
        <v>49</v>
      </c>
      <c r="F225" s="54">
        <v>1989</v>
      </c>
      <c r="G225" s="54" t="s">
        <v>94</v>
      </c>
      <c r="H225" s="54" t="s">
        <v>95</v>
      </c>
      <c r="I225" s="54"/>
      <c r="J225" s="54" t="s">
        <v>1013</v>
      </c>
      <c r="K225" s="54" t="s">
        <v>1134</v>
      </c>
      <c r="L225" s="54" t="s">
        <v>96</v>
      </c>
      <c r="M225" s="54"/>
      <c r="N225" s="54"/>
      <c r="O225" s="54" t="s">
        <v>1197</v>
      </c>
      <c r="P225" s="54"/>
      <c r="Q225" s="54"/>
      <c r="R225" s="54"/>
      <c r="S225" s="54"/>
      <c r="T225" s="54"/>
      <c r="U225" s="54"/>
      <c r="V225" s="54"/>
      <c r="W225" s="54"/>
      <c r="X225" s="66" t="str">
        <f t="shared" si="11"/>
        <v/>
      </c>
      <c r="Y225" s="71">
        <v>263</v>
      </c>
      <c r="Z225" s="192" t="s">
        <v>1193</v>
      </c>
      <c r="AA225" s="66"/>
      <c r="AB225" s="66"/>
      <c r="AC225" s="66"/>
      <c r="AD225" s="172"/>
      <c r="AE225" s="172"/>
      <c r="AF225" s="172"/>
      <c r="AG225" s="172"/>
      <c r="AH225" s="172"/>
      <c r="AI225" s="172"/>
      <c r="AJ225" s="172"/>
      <c r="AK225" s="172"/>
      <c r="AL225" s="172"/>
    </row>
    <row r="226" spans="1:38" s="45" customFormat="1">
      <c r="A226" s="53">
        <v>35</v>
      </c>
      <c r="B226" s="60" t="s">
        <v>45</v>
      </c>
      <c r="C226" s="60">
        <v>1982</v>
      </c>
      <c r="D226" s="60" t="s">
        <v>46</v>
      </c>
      <c r="E226" s="56" t="s">
        <v>49</v>
      </c>
      <c r="F226" s="54" t="s">
        <v>50</v>
      </c>
      <c r="G226" s="54" t="s">
        <v>51</v>
      </c>
      <c r="H226" s="54" t="s">
        <v>23</v>
      </c>
      <c r="I226" s="54"/>
      <c r="J226" s="54" t="s">
        <v>1013</v>
      </c>
      <c r="K226" s="54" t="s">
        <v>1134</v>
      </c>
      <c r="L226" s="54" t="s">
        <v>52</v>
      </c>
      <c r="M226" s="54"/>
      <c r="N226" s="54"/>
      <c r="O226" s="54" t="s">
        <v>66</v>
      </c>
      <c r="P226" s="54"/>
      <c r="Q226" s="54"/>
      <c r="R226" s="54"/>
      <c r="S226" s="54"/>
      <c r="T226" s="54"/>
      <c r="U226" s="54"/>
      <c r="V226" s="54"/>
      <c r="W226" s="54"/>
      <c r="X226" s="66" t="str">
        <f t="shared" si="11"/>
        <v/>
      </c>
      <c r="Y226" s="71">
        <v>226</v>
      </c>
      <c r="Z226" s="192" t="s">
        <v>1193</v>
      </c>
      <c r="AA226" s="66"/>
      <c r="AB226" s="66"/>
      <c r="AC226" s="66"/>
      <c r="AD226" s="172"/>
      <c r="AE226" s="172"/>
      <c r="AF226" s="172"/>
      <c r="AG226" s="172"/>
      <c r="AH226" s="172"/>
      <c r="AI226" s="172"/>
      <c r="AJ226" s="172"/>
      <c r="AK226" s="172"/>
      <c r="AL226" s="172"/>
    </row>
    <row r="227" spans="1:38" s="45" customFormat="1">
      <c r="A227" s="53">
        <v>35</v>
      </c>
      <c r="B227" s="60" t="s">
        <v>45</v>
      </c>
      <c r="C227" s="60">
        <v>1982</v>
      </c>
      <c r="D227" s="60" t="s">
        <v>46</v>
      </c>
      <c r="E227" s="56" t="s">
        <v>49</v>
      </c>
      <c r="F227" s="54" t="s">
        <v>50</v>
      </c>
      <c r="G227" s="54" t="s">
        <v>51</v>
      </c>
      <c r="H227" s="54" t="s">
        <v>23</v>
      </c>
      <c r="I227" s="54"/>
      <c r="J227" s="54" t="s">
        <v>1013</v>
      </c>
      <c r="K227" s="54" t="s">
        <v>1134</v>
      </c>
      <c r="L227" s="54" t="s">
        <v>52</v>
      </c>
      <c r="M227" s="54"/>
      <c r="N227" s="54"/>
      <c r="O227" s="54" t="s">
        <v>64</v>
      </c>
      <c r="P227" s="54"/>
      <c r="Q227" s="54"/>
      <c r="R227" s="54"/>
      <c r="S227" s="54"/>
      <c r="T227" s="54"/>
      <c r="U227" s="54"/>
      <c r="V227" s="54"/>
      <c r="W227" s="54"/>
      <c r="X227" s="66" t="str">
        <f t="shared" si="11"/>
        <v/>
      </c>
      <c r="Y227" s="71">
        <v>216</v>
      </c>
      <c r="Z227" s="192" t="s">
        <v>1193</v>
      </c>
      <c r="AA227" s="66"/>
      <c r="AB227" s="66"/>
      <c r="AC227" s="66"/>
      <c r="AD227" s="172"/>
      <c r="AE227" s="172"/>
      <c r="AF227" s="172"/>
      <c r="AG227" s="172"/>
      <c r="AH227" s="172"/>
      <c r="AI227" s="172"/>
      <c r="AJ227" s="172"/>
      <c r="AK227" s="172"/>
      <c r="AL227" s="172"/>
    </row>
    <row r="228" spans="1:38" s="45" customFormat="1">
      <c r="A228" s="53">
        <v>35</v>
      </c>
      <c r="B228" s="60" t="s">
        <v>45</v>
      </c>
      <c r="C228" s="60">
        <v>1982</v>
      </c>
      <c r="D228" s="60" t="s">
        <v>46</v>
      </c>
      <c r="E228" s="56" t="s">
        <v>49</v>
      </c>
      <c r="F228" s="54" t="s">
        <v>50</v>
      </c>
      <c r="G228" s="54" t="s">
        <v>51</v>
      </c>
      <c r="H228" s="54" t="s">
        <v>23</v>
      </c>
      <c r="I228" s="54"/>
      <c r="J228" s="54" t="s">
        <v>1013</v>
      </c>
      <c r="K228" s="54" t="s">
        <v>1134</v>
      </c>
      <c r="L228" s="54" t="s">
        <v>52</v>
      </c>
      <c r="M228" s="54"/>
      <c r="N228" s="54"/>
      <c r="O228" s="54" t="s">
        <v>65</v>
      </c>
      <c r="P228" s="54"/>
      <c r="Q228" s="54"/>
      <c r="R228" s="54"/>
      <c r="S228" s="54"/>
      <c r="T228" s="54"/>
      <c r="U228" s="54"/>
      <c r="V228" s="54"/>
      <c r="W228" s="54"/>
      <c r="X228" s="66" t="str">
        <f t="shared" si="11"/>
        <v/>
      </c>
      <c r="Y228" s="71">
        <v>212</v>
      </c>
      <c r="Z228" s="192" t="s">
        <v>1193</v>
      </c>
      <c r="AA228" s="66"/>
      <c r="AB228" s="66"/>
      <c r="AC228" s="66"/>
      <c r="AD228" s="172"/>
      <c r="AE228" s="172"/>
      <c r="AF228" s="172"/>
      <c r="AG228" s="172"/>
      <c r="AH228" s="172"/>
      <c r="AI228" s="172"/>
      <c r="AJ228" s="172"/>
      <c r="AK228" s="172"/>
      <c r="AL228" s="172"/>
    </row>
    <row r="229" spans="1:38" s="45" customFormat="1">
      <c r="A229" s="53">
        <v>35</v>
      </c>
      <c r="B229" s="60" t="s">
        <v>45</v>
      </c>
      <c r="C229" s="60">
        <v>1982</v>
      </c>
      <c r="D229" s="60" t="s">
        <v>46</v>
      </c>
      <c r="E229" s="56" t="s">
        <v>49</v>
      </c>
      <c r="F229" s="54" t="s">
        <v>50</v>
      </c>
      <c r="G229" s="54" t="s">
        <v>51</v>
      </c>
      <c r="H229" s="54" t="s">
        <v>23</v>
      </c>
      <c r="I229" s="54"/>
      <c r="J229" s="54" t="s">
        <v>1013</v>
      </c>
      <c r="K229" s="54" t="s">
        <v>1134</v>
      </c>
      <c r="L229" s="54" t="s">
        <v>52</v>
      </c>
      <c r="M229" s="54"/>
      <c r="N229" s="54"/>
      <c r="O229" s="54" t="s">
        <v>58</v>
      </c>
      <c r="P229" s="54"/>
      <c r="Q229" s="54"/>
      <c r="R229" s="54"/>
      <c r="S229" s="54"/>
      <c r="T229" s="54"/>
      <c r="U229" s="54"/>
      <c r="V229" s="54"/>
      <c r="W229" s="54"/>
      <c r="X229" s="66" t="str">
        <f t="shared" si="11"/>
        <v/>
      </c>
      <c r="Y229" s="71">
        <v>208</v>
      </c>
      <c r="Z229" s="192" t="s">
        <v>1193</v>
      </c>
      <c r="AA229" s="66"/>
      <c r="AB229" s="66"/>
      <c r="AC229" s="66"/>
      <c r="AD229" s="172"/>
      <c r="AE229" s="172"/>
      <c r="AF229" s="172"/>
      <c r="AG229" s="172"/>
      <c r="AH229" s="172"/>
      <c r="AI229" s="172"/>
      <c r="AJ229" s="172"/>
      <c r="AK229" s="172"/>
      <c r="AL229" s="172"/>
    </row>
    <row r="230" spans="1:38" s="45" customFormat="1">
      <c r="A230" s="53">
        <v>35</v>
      </c>
      <c r="B230" s="60" t="s">
        <v>45</v>
      </c>
      <c r="C230" s="60">
        <v>1982</v>
      </c>
      <c r="D230" s="60" t="s">
        <v>46</v>
      </c>
      <c r="E230" s="56" t="s">
        <v>49</v>
      </c>
      <c r="F230" s="54" t="s">
        <v>50</v>
      </c>
      <c r="G230" s="54" t="s">
        <v>51</v>
      </c>
      <c r="H230" s="54" t="s">
        <v>23</v>
      </c>
      <c r="I230" s="54"/>
      <c r="J230" s="54" t="s">
        <v>1013</v>
      </c>
      <c r="K230" s="54" t="s">
        <v>1134</v>
      </c>
      <c r="L230" s="54" t="s">
        <v>52</v>
      </c>
      <c r="M230" s="54"/>
      <c r="N230" s="54"/>
      <c r="O230" s="54" t="s">
        <v>59</v>
      </c>
      <c r="P230" s="54"/>
      <c r="Q230" s="54"/>
      <c r="R230" s="54"/>
      <c r="S230" s="54"/>
      <c r="T230" s="54"/>
      <c r="U230" s="54"/>
      <c r="V230" s="54"/>
      <c r="W230" s="54"/>
      <c r="X230" s="66" t="str">
        <f t="shared" si="11"/>
        <v/>
      </c>
      <c r="Y230" s="71">
        <v>196</v>
      </c>
      <c r="Z230" s="192" t="s">
        <v>1193</v>
      </c>
      <c r="AA230" s="66"/>
      <c r="AB230" s="66"/>
      <c r="AC230" s="66"/>
      <c r="AD230" s="172"/>
      <c r="AE230" s="172"/>
      <c r="AF230" s="172"/>
      <c r="AG230" s="172"/>
      <c r="AH230" s="172"/>
      <c r="AI230" s="172"/>
      <c r="AJ230" s="172"/>
      <c r="AK230" s="172"/>
      <c r="AL230" s="172"/>
    </row>
    <row r="231" spans="1:38" s="45" customFormat="1">
      <c r="A231" s="53">
        <v>35</v>
      </c>
      <c r="B231" s="60" t="s">
        <v>45</v>
      </c>
      <c r="C231" s="60">
        <v>1982</v>
      </c>
      <c r="D231" s="60" t="s">
        <v>46</v>
      </c>
      <c r="E231" s="56" t="s">
        <v>49</v>
      </c>
      <c r="F231" s="54" t="s">
        <v>50</v>
      </c>
      <c r="G231" s="54" t="s">
        <v>51</v>
      </c>
      <c r="H231" s="54" t="s">
        <v>23</v>
      </c>
      <c r="I231" s="54"/>
      <c r="J231" s="54" t="s">
        <v>1013</v>
      </c>
      <c r="K231" s="54" t="s">
        <v>1134</v>
      </c>
      <c r="L231" s="54" t="s">
        <v>52</v>
      </c>
      <c r="M231" s="54"/>
      <c r="N231" s="54"/>
      <c r="O231" s="54" t="s">
        <v>60</v>
      </c>
      <c r="P231" s="54"/>
      <c r="Q231" s="54"/>
      <c r="R231" s="54"/>
      <c r="S231" s="54"/>
      <c r="T231" s="54"/>
      <c r="U231" s="54"/>
      <c r="V231" s="54"/>
      <c r="W231" s="54"/>
      <c r="X231" s="66" t="str">
        <f t="shared" si="11"/>
        <v/>
      </c>
      <c r="Y231" s="71">
        <v>195</v>
      </c>
      <c r="Z231" s="192" t="s">
        <v>1193</v>
      </c>
      <c r="AA231" s="66"/>
      <c r="AB231" s="66"/>
      <c r="AC231" s="66"/>
      <c r="AD231" s="172"/>
      <c r="AE231" s="172"/>
      <c r="AF231" s="172"/>
      <c r="AG231" s="172"/>
      <c r="AH231" s="172"/>
      <c r="AI231" s="172"/>
      <c r="AJ231" s="172"/>
      <c r="AK231" s="172"/>
      <c r="AL231" s="172"/>
    </row>
    <row r="232" spans="1:38" s="45" customFormat="1">
      <c r="A232" s="53">
        <v>35</v>
      </c>
      <c r="B232" s="60" t="s">
        <v>45</v>
      </c>
      <c r="C232" s="60">
        <v>1982</v>
      </c>
      <c r="D232" s="60" t="s">
        <v>46</v>
      </c>
      <c r="E232" s="56" t="s">
        <v>49</v>
      </c>
      <c r="F232" s="54" t="s">
        <v>50</v>
      </c>
      <c r="G232" s="54" t="s">
        <v>51</v>
      </c>
      <c r="H232" s="54" t="s">
        <v>23</v>
      </c>
      <c r="I232" s="54"/>
      <c r="J232" s="54" t="s">
        <v>1013</v>
      </c>
      <c r="K232" s="54" t="s">
        <v>1134</v>
      </c>
      <c r="L232" s="54" t="s">
        <v>52</v>
      </c>
      <c r="M232" s="54"/>
      <c r="N232" s="54"/>
      <c r="O232" s="54" t="s">
        <v>61</v>
      </c>
      <c r="P232" s="54"/>
      <c r="Q232" s="54"/>
      <c r="R232" s="54"/>
      <c r="S232" s="54"/>
      <c r="T232" s="54"/>
      <c r="U232" s="54"/>
      <c r="V232" s="54"/>
      <c r="W232" s="54"/>
      <c r="X232" s="66" t="str">
        <f t="shared" si="11"/>
        <v/>
      </c>
      <c r="Y232" s="71">
        <v>187</v>
      </c>
      <c r="Z232" s="192" t="s">
        <v>1193</v>
      </c>
      <c r="AA232" s="66"/>
      <c r="AB232" s="66"/>
      <c r="AC232" s="66"/>
      <c r="AD232" s="172"/>
      <c r="AE232" s="172"/>
      <c r="AF232" s="172"/>
      <c r="AG232" s="172"/>
      <c r="AH232" s="172"/>
      <c r="AI232" s="172"/>
      <c r="AJ232" s="172"/>
      <c r="AK232" s="172"/>
      <c r="AL232" s="172"/>
    </row>
    <row r="233" spans="1:38" s="45" customFormat="1">
      <c r="A233" s="53">
        <v>35</v>
      </c>
      <c r="B233" s="60" t="s">
        <v>45</v>
      </c>
      <c r="C233" s="60">
        <v>1982</v>
      </c>
      <c r="D233" s="60" t="s">
        <v>46</v>
      </c>
      <c r="E233" s="56" t="s">
        <v>49</v>
      </c>
      <c r="F233" s="54" t="s">
        <v>50</v>
      </c>
      <c r="G233" s="54" t="s">
        <v>51</v>
      </c>
      <c r="H233" s="54" t="s">
        <v>23</v>
      </c>
      <c r="I233" s="54"/>
      <c r="J233" s="54" t="s">
        <v>1013</v>
      </c>
      <c r="K233" s="54" t="s">
        <v>1134</v>
      </c>
      <c r="L233" s="54" t="s">
        <v>52</v>
      </c>
      <c r="M233" s="54"/>
      <c r="N233" s="54"/>
      <c r="O233" s="54" t="s">
        <v>62</v>
      </c>
      <c r="P233" s="54"/>
      <c r="Q233" s="54"/>
      <c r="R233" s="54"/>
      <c r="S233" s="54"/>
      <c r="T233" s="54"/>
      <c r="U233" s="54"/>
      <c r="V233" s="54"/>
      <c r="W233" s="54"/>
      <c r="X233" s="66" t="str">
        <f t="shared" si="11"/>
        <v/>
      </c>
      <c r="Y233" s="71">
        <v>180</v>
      </c>
      <c r="Z233" s="192" t="s">
        <v>1193</v>
      </c>
      <c r="AA233" s="66"/>
      <c r="AB233" s="66"/>
      <c r="AC233" s="66"/>
      <c r="AD233" s="172"/>
      <c r="AE233" s="172"/>
      <c r="AF233" s="172"/>
      <c r="AG233" s="172"/>
      <c r="AH233" s="172"/>
      <c r="AI233" s="172"/>
      <c r="AJ233" s="172"/>
      <c r="AK233" s="172"/>
      <c r="AL233" s="172"/>
    </row>
    <row r="234" spans="1:38" s="45" customFormat="1">
      <c r="A234" s="53">
        <v>35</v>
      </c>
      <c r="B234" s="60" t="s">
        <v>45</v>
      </c>
      <c r="C234" s="60">
        <v>1982</v>
      </c>
      <c r="D234" s="60" t="s">
        <v>46</v>
      </c>
      <c r="E234" s="56" t="s">
        <v>49</v>
      </c>
      <c r="F234" s="54" t="s">
        <v>50</v>
      </c>
      <c r="G234" s="54" t="s">
        <v>51</v>
      </c>
      <c r="H234" s="54" t="s">
        <v>23</v>
      </c>
      <c r="I234" s="54"/>
      <c r="J234" s="54" t="s">
        <v>1013</v>
      </c>
      <c r="K234" s="54" t="s">
        <v>1134</v>
      </c>
      <c r="L234" s="54" t="s">
        <v>52</v>
      </c>
      <c r="M234" s="54"/>
      <c r="N234" s="54"/>
      <c r="O234" s="54" t="s">
        <v>63</v>
      </c>
      <c r="P234" s="54"/>
      <c r="Q234" s="54"/>
      <c r="R234" s="54"/>
      <c r="S234" s="54"/>
      <c r="T234" s="54"/>
      <c r="U234" s="54"/>
      <c r="V234" s="54"/>
      <c r="W234" s="54"/>
      <c r="X234" s="66" t="str">
        <f t="shared" si="11"/>
        <v/>
      </c>
      <c r="Y234" s="71">
        <v>162</v>
      </c>
      <c r="Z234" s="192" t="s">
        <v>1193</v>
      </c>
      <c r="AA234" s="66"/>
      <c r="AB234" s="66"/>
      <c r="AC234" s="66"/>
      <c r="AD234" s="172"/>
      <c r="AE234" s="172"/>
      <c r="AF234" s="172"/>
      <c r="AG234" s="172"/>
      <c r="AH234" s="172"/>
      <c r="AI234" s="172"/>
      <c r="AJ234" s="172"/>
      <c r="AK234" s="172"/>
      <c r="AL234" s="172"/>
    </row>
    <row r="235" spans="1:38" s="45" customFormat="1">
      <c r="A235" s="53">
        <v>37</v>
      </c>
      <c r="B235" s="60" t="s">
        <v>45</v>
      </c>
      <c r="C235" s="60">
        <v>1982</v>
      </c>
      <c r="D235" s="60" t="s">
        <v>92</v>
      </c>
      <c r="E235" s="56" t="s">
        <v>49</v>
      </c>
      <c r="F235" s="54">
        <v>1989</v>
      </c>
      <c r="G235" s="54" t="s">
        <v>94</v>
      </c>
      <c r="H235" s="54" t="s">
        <v>95</v>
      </c>
      <c r="I235" s="54"/>
      <c r="J235" s="54" t="s">
        <v>1013</v>
      </c>
      <c r="K235" s="54" t="s">
        <v>1134</v>
      </c>
      <c r="L235" s="54" t="s">
        <v>96</v>
      </c>
      <c r="M235" s="54"/>
      <c r="N235" s="54"/>
      <c r="O235" s="54" t="s">
        <v>102</v>
      </c>
      <c r="P235" s="54"/>
      <c r="Q235" s="54"/>
      <c r="R235" s="54"/>
      <c r="S235" s="54"/>
      <c r="T235" s="54"/>
      <c r="U235" s="54"/>
      <c r="V235" s="54"/>
      <c r="W235" s="54">
        <v>154</v>
      </c>
      <c r="X235" s="66" t="str">
        <f t="shared" si="11"/>
        <v/>
      </c>
      <c r="Y235" s="71">
        <f>+W235</f>
        <v>154</v>
      </c>
      <c r="Z235" s="192" t="s">
        <v>1193</v>
      </c>
      <c r="AA235" s="66"/>
      <c r="AB235" s="66"/>
      <c r="AC235" s="66"/>
      <c r="AD235" s="172"/>
      <c r="AE235" s="172"/>
      <c r="AF235" s="172"/>
      <c r="AG235" s="172"/>
      <c r="AH235" s="172"/>
      <c r="AI235" s="172"/>
      <c r="AJ235" s="172"/>
      <c r="AK235" s="172"/>
      <c r="AL235" s="172"/>
    </row>
    <row r="236" spans="1:38" s="45" customFormat="1">
      <c r="A236" s="53">
        <v>118</v>
      </c>
      <c r="B236" s="73" t="s">
        <v>399</v>
      </c>
      <c r="C236" s="54">
        <v>1999</v>
      </c>
      <c r="D236" s="73" t="s">
        <v>400</v>
      </c>
      <c r="E236" s="56" t="s">
        <v>20</v>
      </c>
      <c r="F236" s="54">
        <v>1999</v>
      </c>
      <c r="G236" s="54" t="s">
        <v>326</v>
      </c>
      <c r="H236" s="54" t="s">
        <v>159</v>
      </c>
      <c r="I236" s="54"/>
      <c r="J236" s="66" t="s">
        <v>1013</v>
      </c>
      <c r="K236" s="54" t="s">
        <v>1056</v>
      </c>
      <c r="L236" s="54" t="s">
        <v>406</v>
      </c>
      <c r="M236" s="54"/>
      <c r="N236" s="54"/>
      <c r="O236" s="54">
        <v>4</v>
      </c>
      <c r="P236" s="54"/>
      <c r="Q236" s="54"/>
      <c r="R236" s="54"/>
      <c r="S236" s="54"/>
      <c r="T236" s="54"/>
      <c r="U236" s="54">
        <v>0.98</v>
      </c>
      <c r="V236" s="54"/>
      <c r="W236" s="54"/>
      <c r="X236" s="66">
        <f t="shared" si="11"/>
        <v>0.98</v>
      </c>
      <c r="Y236" s="71">
        <v>26.8</v>
      </c>
      <c r="Z236" s="192" t="str">
        <f t="shared" ref="Z236:Z267" si="13">IF(X236&lt;&gt;"",IF(X236&lt;0.9,"S","F"),"")</f>
        <v>F</v>
      </c>
      <c r="AA236" s="66"/>
      <c r="AB236" s="66"/>
      <c r="AC236" s="66"/>
      <c r="AD236" s="172"/>
      <c r="AE236" s="172"/>
      <c r="AF236" s="172"/>
      <c r="AG236" s="172"/>
      <c r="AH236" s="172"/>
      <c r="AI236" s="172"/>
      <c r="AJ236" s="172"/>
      <c r="AK236" s="172"/>
      <c r="AL236" s="172"/>
    </row>
    <row r="237" spans="1:38" s="45" customFormat="1">
      <c r="A237" s="53">
        <v>197</v>
      </c>
      <c r="B237" s="73" t="s">
        <v>875</v>
      </c>
      <c r="C237" s="54">
        <v>2007</v>
      </c>
      <c r="D237" s="73" t="s">
        <v>928</v>
      </c>
      <c r="E237" s="56" t="s">
        <v>20</v>
      </c>
      <c r="F237" s="54">
        <v>2003</v>
      </c>
      <c r="G237" s="54" t="s">
        <v>326</v>
      </c>
      <c r="H237" s="54" t="s">
        <v>159</v>
      </c>
      <c r="I237" s="54"/>
      <c r="J237" s="66" t="s">
        <v>1013</v>
      </c>
      <c r="K237" s="54" t="s">
        <v>1111</v>
      </c>
      <c r="L237" s="54" t="s">
        <v>315</v>
      </c>
      <c r="M237" s="54"/>
      <c r="N237" s="54"/>
      <c r="O237" s="54" t="s">
        <v>930</v>
      </c>
      <c r="P237" s="54">
        <v>0.98</v>
      </c>
      <c r="Q237" s="66"/>
      <c r="R237" s="66">
        <f>+P237</f>
        <v>0.98</v>
      </c>
      <c r="S237" s="66"/>
      <c r="T237" s="66"/>
      <c r="U237" s="66"/>
      <c r="V237" s="54">
        <v>15.1</v>
      </c>
      <c r="W237" s="66"/>
      <c r="X237" s="66">
        <f t="shared" si="11"/>
        <v>0.98</v>
      </c>
      <c r="Y237" s="206">
        <f>+V237</f>
        <v>15.1</v>
      </c>
      <c r="Z237" s="192" t="str">
        <f t="shared" si="13"/>
        <v>F</v>
      </c>
      <c r="AA237" s="66"/>
      <c r="AB237" s="66"/>
      <c r="AC237" s="66"/>
      <c r="AD237" s="172"/>
      <c r="AE237" s="172"/>
      <c r="AF237" s="172"/>
      <c r="AG237" s="172"/>
      <c r="AH237" s="172"/>
      <c r="AI237" s="172"/>
      <c r="AJ237" s="172"/>
      <c r="AK237" s="172"/>
      <c r="AL237" s="172"/>
    </row>
    <row r="238" spans="1:38" s="45" customFormat="1">
      <c r="A238" s="53">
        <v>197</v>
      </c>
      <c r="B238" s="73" t="s">
        <v>875</v>
      </c>
      <c r="C238" s="54">
        <v>2007</v>
      </c>
      <c r="D238" s="73" t="s">
        <v>928</v>
      </c>
      <c r="E238" s="56" t="s">
        <v>20</v>
      </c>
      <c r="F238" s="54">
        <v>2003</v>
      </c>
      <c r="G238" s="54" t="s">
        <v>326</v>
      </c>
      <c r="H238" s="54" t="s">
        <v>159</v>
      </c>
      <c r="I238" s="54"/>
      <c r="J238" s="66" t="s">
        <v>1013</v>
      </c>
      <c r="K238" s="54" t="s">
        <v>1112</v>
      </c>
      <c r="L238" s="54" t="s">
        <v>924</v>
      </c>
      <c r="M238" s="54"/>
      <c r="N238" s="54"/>
      <c r="O238" s="54" t="s">
        <v>932</v>
      </c>
      <c r="P238" s="54">
        <v>0.98</v>
      </c>
      <c r="Q238" s="66"/>
      <c r="R238" s="66">
        <f>+P238</f>
        <v>0.98</v>
      </c>
      <c r="S238" s="66"/>
      <c r="T238" s="66"/>
      <c r="U238" s="66"/>
      <c r="V238" s="54">
        <v>11.2</v>
      </c>
      <c r="W238" s="66"/>
      <c r="X238" s="66">
        <f t="shared" si="11"/>
        <v>0.98</v>
      </c>
      <c r="Y238" s="206">
        <f>+V238</f>
        <v>11.2</v>
      </c>
      <c r="Z238" s="192" t="str">
        <f t="shared" si="13"/>
        <v>F</v>
      </c>
      <c r="AA238" s="66"/>
      <c r="AB238" s="66"/>
      <c r="AC238" s="66"/>
      <c r="AD238" s="172"/>
      <c r="AE238" s="172"/>
      <c r="AF238" s="172"/>
      <c r="AG238" s="172"/>
      <c r="AH238" s="172"/>
      <c r="AI238" s="172"/>
      <c r="AJ238" s="172"/>
      <c r="AK238" s="172"/>
      <c r="AL238" s="172"/>
    </row>
    <row r="239" spans="1:38" s="45" customFormat="1">
      <c r="A239" s="53"/>
      <c r="B239" s="290" t="s">
        <v>1276</v>
      </c>
      <c r="C239" s="291">
        <v>1989</v>
      </c>
      <c r="D239" s="66"/>
      <c r="E239" s="60" t="s">
        <v>49</v>
      </c>
      <c r="F239" s="54"/>
      <c r="G239" s="54"/>
      <c r="H239" s="54"/>
      <c r="I239" s="54"/>
      <c r="J239" s="257" t="s">
        <v>1013</v>
      </c>
      <c r="K239" s="257" t="s">
        <v>1002</v>
      </c>
      <c r="L239" s="54"/>
      <c r="N239" s="54"/>
      <c r="O239" t="s">
        <v>1233</v>
      </c>
      <c r="P239" s="54"/>
      <c r="Q239" s="54"/>
      <c r="R239">
        <v>0.97199999999999998</v>
      </c>
      <c r="S239" s="54"/>
      <c r="T239" s="54"/>
      <c r="U239" s="54"/>
      <c r="V239" s="54"/>
      <c r="W239" s="54"/>
      <c r="X239" s="66">
        <f t="shared" si="11"/>
        <v>0.97199999999999998</v>
      </c>
      <c r="Y239">
        <v>28</v>
      </c>
      <c r="Z239" s="192" t="str">
        <f t="shared" si="13"/>
        <v>F</v>
      </c>
      <c r="AA239" s="66"/>
      <c r="AB239" s="66"/>
      <c r="AC239" s="66"/>
      <c r="AD239" s="172"/>
      <c r="AE239" s="172"/>
      <c r="AF239" s="172"/>
      <c r="AG239" s="172"/>
      <c r="AH239" s="172"/>
      <c r="AI239" s="172"/>
      <c r="AJ239" s="172"/>
      <c r="AK239" s="172"/>
      <c r="AL239" s="172"/>
    </row>
    <row r="240" spans="1:38" s="45" customFormat="1">
      <c r="A240" s="53">
        <v>101</v>
      </c>
      <c r="B240" s="73" t="s">
        <v>298</v>
      </c>
      <c r="C240" s="54">
        <v>1994</v>
      </c>
      <c r="D240" s="73" t="s">
        <v>299</v>
      </c>
      <c r="E240" s="56" t="s">
        <v>172</v>
      </c>
      <c r="F240" s="54">
        <v>1994</v>
      </c>
      <c r="G240" s="54" t="s">
        <v>301</v>
      </c>
      <c r="H240" s="54" t="s">
        <v>302</v>
      </c>
      <c r="I240" s="54" t="s">
        <v>1014</v>
      </c>
      <c r="J240" s="54" t="s">
        <v>1013</v>
      </c>
      <c r="K240" s="54"/>
      <c r="L240" s="54" t="s">
        <v>303</v>
      </c>
      <c r="M240" s="54"/>
      <c r="N240" s="54"/>
      <c r="O240" s="54" t="s">
        <v>310</v>
      </c>
      <c r="P240" s="54"/>
      <c r="Q240" s="54"/>
      <c r="R240" s="54"/>
      <c r="S240" s="54"/>
      <c r="T240" s="54"/>
      <c r="U240" s="54">
        <v>0.97</v>
      </c>
      <c r="V240" s="54"/>
      <c r="W240" s="54"/>
      <c r="X240" s="66">
        <f t="shared" si="11"/>
        <v>0.97</v>
      </c>
      <c r="Y240" s="71">
        <v>37</v>
      </c>
      <c r="Z240" s="192" t="str">
        <f t="shared" si="13"/>
        <v>F</v>
      </c>
      <c r="AA240" s="66"/>
      <c r="AB240" s="66"/>
      <c r="AC240" s="66"/>
      <c r="AD240" s="172"/>
      <c r="AE240" s="172"/>
      <c r="AF240" s="172"/>
      <c r="AG240" s="172"/>
      <c r="AH240" s="172"/>
      <c r="AI240" s="172"/>
      <c r="AJ240" s="172"/>
      <c r="AK240" s="172"/>
      <c r="AL240" s="172"/>
    </row>
    <row r="241" spans="1:38" s="45" customFormat="1">
      <c r="A241" s="53">
        <v>118</v>
      </c>
      <c r="B241" s="73" t="s">
        <v>399</v>
      </c>
      <c r="C241" s="54">
        <v>1999</v>
      </c>
      <c r="D241" s="73" t="s">
        <v>400</v>
      </c>
      <c r="E241" s="56" t="s">
        <v>20</v>
      </c>
      <c r="F241" s="54">
        <v>1999</v>
      </c>
      <c r="G241" s="54" t="s">
        <v>326</v>
      </c>
      <c r="H241" s="54" t="s">
        <v>159</v>
      </c>
      <c r="I241" s="54"/>
      <c r="J241" s="95" t="s">
        <v>1013</v>
      </c>
      <c r="K241" s="60" t="s">
        <v>1056</v>
      </c>
      <c r="L241" s="54" t="s">
        <v>403</v>
      </c>
      <c r="M241" s="54"/>
      <c r="N241" s="54"/>
      <c r="O241" s="54">
        <v>1</v>
      </c>
      <c r="P241" s="54"/>
      <c r="Q241" s="54"/>
      <c r="R241" s="54"/>
      <c r="S241" s="54"/>
      <c r="T241" s="54"/>
      <c r="U241" s="54">
        <v>0.97</v>
      </c>
      <c r="V241" s="54"/>
      <c r="W241" s="54"/>
      <c r="X241" s="66">
        <f t="shared" si="11"/>
        <v>0.97</v>
      </c>
      <c r="Y241" s="71">
        <v>35.700000000000003</v>
      </c>
      <c r="Z241" s="192" t="str">
        <f t="shared" si="13"/>
        <v>F</v>
      </c>
      <c r="AA241" s="66"/>
      <c r="AB241" s="66"/>
      <c r="AC241" s="66"/>
      <c r="AD241" s="172"/>
      <c r="AE241" s="172"/>
      <c r="AF241" s="172"/>
      <c r="AG241" s="172"/>
      <c r="AH241" s="172"/>
      <c r="AI241" s="172"/>
      <c r="AJ241" s="172"/>
      <c r="AK241" s="172"/>
      <c r="AL241" s="172"/>
    </row>
    <row r="242" spans="1:38" s="45" customFormat="1">
      <c r="A242" s="53">
        <v>197</v>
      </c>
      <c r="B242" s="73" t="s">
        <v>875</v>
      </c>
      <c r="C242" s="54">
        <v>2007</v>
      </c>
      <c r="D242" s="73" t="s">
        <v>928</v>
      </c>
      <c r="E242" s="56" t="s">
        <v>20</v>
      </c>
      <c r="F242" s="54">
        <v>2003</v>
      </c>
      <c r="G242" s="54" t="s">
        <v>326</v>
      </c>
      <c r="H242" s="54" t="s">
        <v>159</v>
      </c>
      <c r="I242" s="54"/>
      <c r="J242" s="66" t="s">
        <v>1013</v>
      </c>
      <c r="K242" s="54" t="s">
        <v>1069</v>
      </c>
      <c r="L242" s="54" t="s">
        <v>403</v>
      </c>
      <c r="M242" s="54"/>
      <c r="N242" s="54"/>
      <c r="O242" s="54" t="s">
        <v>931</v>
      </c>
      <c r="P242" s="54">
        <v>0.97</v>
      </c>
      <c r="Q242" s="66"/>
      <c r="R242" s="66">
        <f>+P242</f>
        <v>0.97</v>
      </c>
      <c r="S242" s="66"/>
      <c r="T242" s="66"/>
      <c r="U242" s="66"/>
      <c r="V242" s="54">
        <v>19.899999999999999</v>
      </c>
      <c r="W242" s="66"/>
      <c r="X242" s="66">
        <f t="shared" si="11"/>
        <v>0.97</v>
      </c>
      <c r="Y242" s="206">
        <f>+V242</f>
        <v>19.899999999999999</v>
      </c>
      <c r="Z242" s="192" t="str">
        <f t="shared" si="13"/>
        <v>F</v>
      </c>
      <c r="AA242" s="66"/>
      <c r="AB242" s="66"/>
      <c r="AC242" s="66"/>
      <c r="AD242" s="172"/>
      <c r="AE242" s="172"/>
      <c r="AF242" s="172"/>
      <c r="AG242" s="172"/>
      <c r="AH242" s="172"/>
      <c r="AI242" s="172"/>
      <c r="AJ242" s="172"/>
      <c r="AK242" s="172"/>
      <c r="AL242" s="172"/>
    </row>
    <row r="243" spans="1:38" s="45" customFormat="1">
      <c r="A243" s="53">
        <v>101</v>
      </c>
      <c r="B243" s="73" t="s">
        <v>298</v>
      </c>
      <c r="C243" s="54">
        <v>1994</v>
      </c>
      <c r="D243" s="73" t="s">
        <v>299</v>
      </c>
      <c r="E243" s="56" t="s">
        <v>172</v>
      </c>
      <c r="F243" s="54">
        <v>1994</v>
      </c>
      <c r="G243" s="54" t="s">
        <v>301</v>
      </c>
      <c r="H243" s="54" t="s">
        <v>302</v>
      </c>
      <c r="I243" s="54" t="s">
        <v>1014</v>
      </c>
      <c r="J243" s="54" t="s">
        <v>1013</v>
      </c>
      <c r="K243" s="54"/>
      <c r="L243" s="54" t="s">
        <v>303</v>
      </c>
      <c r="M243" s="54"/>
      <c r="N243" s="54"/>
      <c r="O243" s="54" t="s">
        <v>307</v>
      </c>
      <c r="P243" s="54"/>
      <c r="Q243" s="54"/>
      <c r="R243" s="54"/>
      <c r="S243" s="54"/>
      <c r="T243" s="54"/>
      <c r="U243" s="54">
        <v>0.96</v>
      </c>
      <c r="V243" s="54"/>
      <c r="W243" s="54"/>
      <c r="X243" s="66">
        <f t="shared" si="11"/>
        <v>0.96</v>
      </c>
      <c r="Y243" s="71">
        <v>45</v>
      </c>
      <c r="Z243" s="192" t="str">
        <f t="shared" si="13"/>
        <v>F</v>
      </c>
      <c r="AA243" s="66"/>
      <c r="AB243" s="66"/>
      <c r="AC243" s="66"/>
      <c r="AD243" s="172"/>
      <c r="AE243" s="172"/>
      <c r="AF243" s="172"/>
      <c r="AG243" s="172"/>
      <c r="AH243" s="172"/>
      <c r="AI243" s="172"/>
      <c r="AJ243" s="172"/>
      <c r="AK243" s="172"/>
      <c r="AL243" s="172"/>
    </row>
    <row r="244" spans="1:38" s="45" customFormat="1">
      <c r="A244" s="53">
        <v>172</v>
      </c>
      <c r="B244" s="54" t="s">
        <v>585</v>
      </c>
      <c r="C244" s="54">
        <v>2010</v>
      </c>
      <c r="D244" s="54" t="s">
        <v>586</v>
      </c>
      <c r="E244" s="56" t="s">
        <v>589</v>
      </c>
      <c r="F244" s="57">
        <v>40235</v>
      </c>
      <c r="G244" s="54" t="s">
        <v>631</v>
      </c>
      <c r="H244" s="54" t="s">
        <v>159</v>
      </c>
      <c r="I244" s="54"/>
      <c r="J244" s="66" t="s">
        <v>1013</v>
      </c>
      <c r="K244" s="54" t="s">
        <v>1069</v>
      </c>
      <c r="L244" s="54" t="s">
        <v>634</v>
      </c>
      <c r="M244" s="59" t="s">
        <v>635</v>
      </c>
      <c r="N244" s="59"/>
      <c r="O244" s="54"/>
      <c r="P244" s="60"/>
      <c r="Q244" s="60"/>
      <c r="R244" s="54"/>
      <c r="S244" s="54"/>
      <c r="T244" s="54"/>
      <c r="U244" s="61">
        <v>0.95899999999999996</v>
      </c>
      <c r="V244" s="61"/>
      <c r="W244" s="61"/>
      <c r="X244" s="66">
        <f t="shared" si="11"/>
        <v>0.95899999999999996</v>
      </c>
      <c r="Y244" s="71">
        <v>51</v>
      </c>
      <c r="Z244" s="192" t="str">
        <f t="shared" si="13"/>
        <v>F</v>
      </c>
      <c r="AA244" s="66"/>
      <c r="AB244" s="66"/>
      <c r="AC244" s="66"/>
      <c r="AD244" s="172"/>
      <c r="AE244" s="172"/>
      <c r="AF244" s="172"/>
      <c r="AG244" s="172"/>
      <c r="AH244" s="172"/>
      <c r="AI244" s="172"/>
      <c r="AJ244" s="172"/>
      <c r="AK244" s="172"/>
      <c r="AL244" s="172"/>
    </row>
    <row r="245" spans="1:38" s="45" customFormat="1">
      <c r="A245" s="53"/>
      <c r="B245" s="290" t="s">
        <v>1276</v>
      </c>
      <c r="C245" s="291">
        <v>1989</v>
      </c>
      <c r="D245" s="66"/>
      <c r="E245" s="60" t="s">
        <v>49</v>
      </c>
      <c r="F245" s="54"/>
      <c r="G245" s="54"/>
      <c r="H245" s="54"/>
      <c r="I245" s="54"/>
      <c r="J245" s="257" t="s">
        <v>1013</v>
      </c>
      <c r="K245" s="257" t="s">
        <v>1257</v>
      </c>
      <c r="O245" t="s">
        <v>1268</v>
      </c>
      <c r="R245">
        <v>0.95099999999999996</v>
      </c>
      <c r="S245"/>
      <c r="U245" s="54"/>
      <c r="V245" s="54"/>
      <c r="W245" s="54"/>
      <c r="X245" s="66">
        <f t="shared" si="11"/>
        <v>0.95099999999999996</v>
      </c>
      <c r="Y245">
        <v>20</v>
      </c>
      <c r="Z245" s="192" t="str">
        <f t="shared" si="13"/>
        <v>F</v>
      </c>
      <c r="AA245" s="66"/>
      <c r="AB245" s="66"/>
      <c r="AC245" s="66"/>
      <c r="AD245" s="172"/>
      <c r="AE245" s="172"/>
      <c r="AF245" s="172"/>
      <c r="AG245" s="172"/>
      <c r="AH245" s="172"/>
      <c r="AI245" s="172"/>
      <c r="AJ245" s="172"/>
      <c r="AK245" s="172"/>
      <c r="AL245" s="172"/>
    </row>
    <row r="246" spans="1:38" s="45" customFormat="1">
      <c r="A246" s="53">
        <v>101</v>
      </c>
      <c r="B246" s="73" t="s">
        <v>298</v>
      </c>
      <c r="C246" s="54">
        <v>1994</v>
      </c>
      <c r="D246" s="73" t="s">
        <v>299</v>
      </c>
      <c r="E246" s="56" t="s">
        <v>172</v>
      </c>
      <c r="F246" s="54">
        <v>1994</v>
      </c>
      <c r="G246" s="54" t="s">
        <v>301</v>
      </c>
      <c r="H246" s="54" t="s">
        <v>302</v>
      </c>
      <c r="I246" s="54" t="s">
        <v>1014</v>
      </c>
      <c r="J246" s="54" t="s">
        <v>1013</v>
      </c>
      <c r="K246" s="54"/>
      <c r="L246" s="54" t="s">
        <v>303</v>
      </c>
      <c r="M246" s="54"/>
      <c r="N246" s="54"/>
      <c r="O246" s="54" t="s">
        <v>305</v>
      </c>
      <c r="P246" s="54"/>
      <c r="Q246" s="54"/>
      <c r="R246" s="54"/>
      <c r="S246" s="54"/>
      <c r="T246" s="54"/>
      <c r="U246" s="54">
        <v>0.95</v>
      </c>
      <c r="V246" s="54"/>
      <c r="W246" s="54"/>
      <c r="X246" s="66">
        <f t="shared" si="11"/>
        <v>0.95</v>
      </c>
      <c r="Y246" s="71">
        <v>61</v>
      </c>
      <c r="Z246" s="192" t="str">
        <f t="shared" si="13"/>
        <v>F</v>
      </c>
      <c r="AA246" s="66"/>
      <c r="AB246" s="66"/>
      <c r="AC246" s="66"/>
      <c r="AD246" s="172"/>
      <c r="AE246" s="172"/>
      <c r="AF246" s="172"/>
      <c r="AG246" s="172"/>
      <c r="AH246" s="172"/>
      <c r="AI246" s="172"/>
      <c r="AJ246" s="172"/>
      <c r="AK246" s="172"/>
      <c r="AL246" s="172"/>
    </row>
    <row r="247" spans="1:38" s="45" customFormat="1">
      <c r="A247" s="53">
        <v>118</v>
      </c>
      <c r="B247" s="73" t="s">
        <v>399</v>
      </c>
      <c r="C247" s="54">
        <v>1999</v>
      </c>
      <c r="D247" s="73" t="s">
        <v>400</v>
      </c>
      <c r="E247" s="56" t="s">
        <v>20</v>
      </c>
      <c r="F247" s="54">
        <v>1999</v>
      </c>
      <c r="G247" s="54" t="s">
        <v>326</v>
      </c>
      <c r="H247" s="54" t="s">
        <v>159</v>
      </c>
      <c r="I247" s="54"/>
      <c r="J247" s="66" t="s">
        <v>1013</v>
      </c>
      <c r="K247" s="54" t="s">
        <v>1054</v>
      </c>
      <c r="L247" s="54" t="s">
        <v>405</v>
      </c>
      <c r="M247" s="54"/>
      <c r="N247" s="54"/>
      <c r="O247" s="54">
        <v>3</v>
      </c>
      <c r="P247" s="54"/>
      <c r="Q247" s="54"/>
      <c r="R247" s="54"/>
      <c r="S247" s="54"/>
      <c r="T247" s="54"/>
      <c r="U247" s="54">
        <v>0.95</v>
      </c>
      <c r="V247" s="54"/>
      <c r="W247" s="54"/>
      <c r="X247" s="66">
        <f t="shared" si="11"/>
        <v>0.95</v>
      </c>
      <c r="Y247" s="71">
        <v>58.8</v>
      </c>
      <c r="Z247" s="192" t="str">
        <f t="shared" si="13"/>
        <v>F</v>
      </c>
      <c r="AA247" s="66"/>
      <c r="AB247" s="66"/>
      <c r="AC247" s="66"/>
      <c r="AD247" s="172"/>
      <c r="AE247" s="172"/>
      <c r="AF247" s="172"/>
      <c r="AG247" s="172"/>
      <c r="AH247" s="172"/>
      <c r="AI247" s="172"/>
      <c r="AJ247" s="172"/>
      <c r="AK247" s="172"/>
      <c r="AL247" s="172"/>
    </row>
    <row r="248" spans="1:38" s="45" customFormat="1">
      <c r="A248" s="53"/>
      <c r="B248" s="290" t="s">
        <v>1276</v>
      </c>
      <c r="C248" s="291">
        <v>1989</v>
      </c>
      <c r="D248" s="66"/>
      <c r="E248" s="60" t="s">
        <v>49</v>
      </c>
      <c r="F248" s="54"/>
      <c r="G248" s="54"/>
      <c r="H248" s="54"/>
      <c r="I248" s="54"/>
      <c r="J248" s="294" t="s">
        <v>1013</v>
      </c>
      <c r="K248" s="294" t="s">
        <v>1002</v>
      </c>
      <c r="L248" s="163"/>
      <c r="M248" s="54"/>
      <c r="N248" s="54"/>
      <c r="O248" t="s">
        <v>1232</v>
      </c>
      <c r="P248" s="54"/>
      <c r="Q248" s="54"/>
      <c r="R248">
        <v>0.94899999999999995</v>
      </c>
      <c r="S248" s="54"/>
      <c r="T248" s="54"/>
      <c r="U248" s="54"/>
      <c r="V248" s="54"/>
      <c r="W248" s="54"/>
      <c r="X248" s="66">
        <f t="shared" si="11"/>
        <v>0.94899999999999995</v>
      </c>
      <c r="Y248">
        <v>50</v>
      </c>
      <c r="Z248" s="192" t="str">
        <f t="shared" si="13"/>
        <v>F</v>
      </c>
      <c r="AA248" s="66"/>
      <c r="AB248" s="66"/>
      <c r="AC248" s="66"/>
      <c r="AD248" s="172"/>
      <c r="AE248" s="172"/>
      <c r="AF248" s="172"/>
      <c r="AG248" s="172"/>
      <c r="AH248" s="172"/>
      <c r="AI248" s="172"/>
      <c r="AJ248" s="172"/>
      <c r="AK248" s="172"/>
      <c r="AL248" s="172"/>
    </row>
    <row r="249" spans="1:38" s="45" customFormat="1">
      <c r="A249" s="53">
        <v>181</v>
      </c>
      <c r="B249" s="54" t="s">
        <v>766</v>
      </c>
      <c r="C249" s="54">
        <v>2009</v>
      </c>
      <c r="D249" s="90" t="s">
        <v>767</v>
      </c>
      <c r="E249" s="84" t="s">
        <v>49</v>
      </c>
      <c r="F249" s="54"/>
      <c r="G249" s="54" t="s">
        <v>777</v>
      </c>
      <c r="H249" s="74" t="s">
        <v>581</v>
      </c>
      <c r="I249" s="74"/>
      <c r="J249" s="74" t="s">
        <v>1013</v>
      </c>
      <c r="K249" s="74" t="s">
        <v>1096</v>
      </c>
      <c r="L249" s="85" t="s">
        <v>775</v>
      </c>
      <c r="M249" s="85" t="s">
        <v>164</v>
      </c>
      <c r="N249" s="85"/>
      <c r="O249" s="85" t="s">
        <v>868</v>
      </c>
      <c r="P249" s="85"/>
      <c r="Q249" s="85"/>
      <c r="R249" s="54"/>
      <c r="S249" s="54"/>
      <c r="T249" s="54"/>
      <c r="U249" s="93">
        <v>0.94840097300000004</v>
      </c>
      <c r="V249" s="166"/>
      <c r="W249" s="166"/>
      <c r="X249" s="66">
        <f t="shared" si="11"/>
        <v>0.94840097300000004</v>
      </c>
      <c r="Y249" s="87">
        <v>59.429581040000002</v>
      </c>
      <c r="Z249" s="192" t="str">
        <f t="shared" si="13"/>
        <v>F</v>
      </c>
      <c r="AA249" s="66"/>
      <c r="AB249" s="66"/>
      <c r="AC249" s="66"/>
      <c r="AD249" s="172"/>
      <c r="AE249" s="172"/>
      <c r="AF249" s="172"/>
      <c r="AG249" s="172"/>
      <c r="AH249" s="172"/>
      <c r="AI249" s="172"/>
      <c r="AJ249" s="172"/>
      <c r="AK249" s="172"/>
      <c r="AL249" s="172"/>
    </row>
    <row r="250" spans="1:38" s="45" customFormat="1">
      <c r="A250" s="53"/>
      <c r="B250" s="290" t="s">
        <v>1276</v>
      </c>
      <c r="C250" s="291">
        <v>1989</v>
      </c>
      <c r="D250" s="66"/>
      <c r="E250" s="60" t="s">
        <v>49</v>
      </c>
      <c r="F250" s="54"/>
      <c r="G250" s="54"/>
      <c r="H250" s="54"/>
      <c r="I250" s="54"/>
      <c r="J250" s="294" t="s">
        <v>1013</v>
      </c>
      <c r="K250" s="294" t="s">
        <v>1257</v>
      </c>
      <c r="L250" s="39"/>
      <c r="O250" t="s">
        <v>1269</v>
      </c>
      <c r="R250">
        <v>0.94699999999999995</v>
      </c>
      <c r="S250"/>
      <c r="U250" s="54"/>
      <c r="V250" s="54"/>
      <c r="W250" s="54"/>
      <c r="X250" s="66">
        <f t="shared" si="11"/>
        <v>0.94699999999999995</v>
      </c>
      <c r="Y250">
        <v>19</v>
      </c>
      <c r="Z250" s="192" t="str">
        <f t="shared" si="13"/>
        <v>F</v>
      </c>
      <c r="AA250" s="66"/>
      <c r="AB250" s="66"/>
      <c r="AC250" s="66"/>
      <c r="AD250" s="172"/>
      <c r="AE250" s="172"/>
      <c r="AF250" s="172"/>
      <c r="AG250" s="172"/>
      <c r="AH250" s="172"/>
      <c r="AI250" s="172"/>
      <c r="AJ250" s="172"/>
      <c r="AK250" s="172"/>
      <c r="AL250" s="172"/>
    </row>
    <row r="251" spans="1:38" s="45" customFormat="1">
      <c r="A251" s="53"/>
      <c r="B251" s="290" t="s">
        <v>1276</v>
      </c>
      <c r="C251" s="291">
        <v>1989</v>
      </c>
      <c r="D251" s="66"/>
      <c r="E251" s="60" t="s">
        <v>49</v>
      </c>
      <c r="F251" s="54"/>
      <c r="G251" s="54"/>
      <c r="H251" s="54"/>
      <c r="I251" s="54"/>
      <c r="J251" s="294" t="s">
        <v>1013</v>
      </c>
      <c r="K251" s="294" t="s">
        <v>1256</v>
      </c>
      <c r="L251" s="39"/>
      <c r="O251" t="s">
        <v>1260</v>
      </c>
      <c r="R251">
        <v>0.94099999999999995</v>
      </c>
      <c r="S251"/>
      <c r="U251" s="54"/>
      <c r="V251" s="54"/>
      <c r="W251" s="54"/>
      <c r="X251" s="66">
        <f t="shared" si="11"/>
        <v>0.94099999999999995</v>
      </c>
      <c r="Y251">
        <v>32</v>
      </c>
      <c r="Z251" s="192" t="str">
        <f t="shared" si="13"/>
        <v>F</v>
      </c>
      <c r="AA251" s="66"/>
      <c r="AB251" s="66"/>
      <c r="AC251" s="66"/>
      <c r="AD251" s="172"/>
      <c r="AE251" s="172"/>
      <c r="AF251" s="172"/>
      <c r="AG251" s="172"/>
      <c r="AH251" s="172"/>
      <c r="AI251" s="172"/>
      <c r="AJ251" s="172"/>
      <c r="AK251" s="172"/>
      <c r="AL251" s="172"/>
    </row>
    <row r="252" spans="1:38" s="45" customFormat="1">
      <c r="A252" s="53">
        <v>101</v>
      </c>
      <c r="B252" s="73" t="s">
        <v>298</v>
      </c>
      <c r="C252" s="54">
        <v>1994</v>
      </c>
      <c r="D252" s="73" t="s">
        <v>299</v>
      </c>
      <c r="E252" s="56" t="s">
        <v>172</v>
      </c>
      <c r="F252" s="54">
        <v>1994</v>
      </c>
      <c r="G252" s="54" t="s">
        <v>301</v>
      </c>
      <c r="H252" s="54" t="s">
        <v>302</v>
      </c>
      <c r="I252" s="54" t="s">
        <v>1014</v>
      </c>
      <c r="J252" s="54" t="s">
        <v>1013</v>
      </c>
      <c r="K252" s="54"/>
      <c r="L252" s="54" t="s">
        <v>303</v>
      </c>
      <c r="M252" s="54"/>
      <c r="N252" s="54"/>
      <c r="O252" s="54" t="s">
        <v>304</v>
      </c>
      <c r="P252" s="54"/>
      <c r="Q252" s="54"/>
      <c r="R252" s="54"/>
      <c r="S252" s="54"/>
      <c r="T252" s="54"/>
      <c r="U252" s="54">
        <v>0.94</v>
      </c>
      <c r="V252" s="54"/>
      <c r="W252" s="54"/>
      <c r="X252" s="66">
        <f t="shared" si="11"/>
        <v>0.94</v>
      </c>
      <c r="Y252" s="71">
        <v>73</v>
      </c>
      <c r="Z252" s="192" t="str">
        <f t="shared" si="13"/>
        <v>F</v>
      </c>
      <c r="AA252" s="66"/>
      <c r="AB252" s="66"/>
      <c r="AC252" s="66"/>
      <c r="AD252" s="172"/>
      <c r="AE252" s="172"/>
      <c r="AF252" s="172"/>
      <c r="AG252" s="172"/>
      <c r="AH252" s="172"/>
      <c r="AI252" s="172"/>
      <c r="AJ252" s="172"/>
      <c r="AK252" s="172"/>
      <c r="AL252" s="172"/>
    </row>
    <row r="253" spans="1:38" s="45" customFormat="1">
      <c r="A253" s="53">
        <v>101</v>
      </c>
      <c r="B253" s="73" t="s">
        <v>298</v>
      </c>
      <c r="C253" s="54">
        <v>1994</v>
      </c>
      <c r="D253" s="73" t="s">
        <v>299</v>
      </c>
      <c r="E253" s="56" t="s">
        <v>172</v>
      </c>
      <c r="F253" s="54">
        <v>1994</v>
      </c>
      <c r="G253" s="54" t="s">
        <v>301</v>
      </c>
      <c r="H253" s="54" t="s">
        <v>302</v>
      </c>
      <c r="I253" s="54" t="s">
        <v>1014</v>
      </c>
      <c r="J253" s="54" t="s">
        <v>1013</v>
      </c>
      <c r="K253" s="54"/>
      <c r="L253" s="54" t="s">
        <v>303</v>
      </c>
      <c r="M253" s="54"/>
      <c r="N253" s="54"/>
      <c r="O253" s="54" t="s">
        <v>308</v>
      </c>
      <c r="P253" s="54"/>
      <c r="Q253" s="54"/>
      <c r="R253" s="54"/>
      <c r="S253" s="54"/>
      <c r="T253" s="54"/>
      <c r="U253" s="54">
        <v>0.94</v>
      </c>
      <c r="V253" s="54"/>
      <c r="W253" s="54"/>
      <c r="X253" s="66">
        <f t="shared" si="11"/>
        <v>0.94</v>
      </c>
      <c r="Y253" s="71">
        <v>73</v>
      </c>
      <c r="Z253" s="192" t="str">
        <f t="shared" si="13"/>
        <v>F</v>
      </c>
      <c r="AA253" s="66"/>
      <c r="AB253" s="66"/>
      <c r="AC253" s="66"/>
      <c r="AD253" s="172"/>
      <c r="AE253" s="172"/>
      <c r="AF253" s="172"/>
      <c r="AG253" s="172"/>
      <c r="AH253" s="172"/>
      <c r="AI253" s="172"/>
      <c r="AJ253" s="172"/>
      <c r="AK253" s="172"/>
      <c r="AL253" s="172"/>
    </row>
    <row r="254" spans="1:38" s="45" customFormat="1">
      <c r="A254" s="53">
        <v>101</v>
      </c>
      <c r="B254" s="73" t="s">
        <v>298</v>
      </c>
      <c r="C254" s="54">
        <v>1994</v>
      </c>
      <c r="D254" s="73" t="s">
        <v>299</v>
      </c>
      <c r="E254" s="56" t="s">
        <v>172</v>
      </c>
      <c r="F254" s="54">
        <v>1994</v>
      </c>
      <c r="G254" s="54" t="s">
        <v>301</v>
      </c>
      <c r="H254" s="54" t="s">
        <v>302</v>
      </c>
      <c r="I254" s="54" t="s">
        <v>1014</v>
      </c>
      <c r="J254" s="54" t="s">
        <v>1013</v>
      </c>
      <c r="K254" s="54"/>
      <c r="L254" s="54" t="s">
        <v>303</v>
      </c>
      <c r="M254" s="54"/>
      <c r="N254" s="54"/>
      <c r="O254" s="54" t="s">
        <v>306</v>
      </c>
      <c r="P254" s="54"/>
      <c r="Q254" s="54"/>
      <c r="R254" s="54"/>
      <c r="S254" s="54"/>
      <c r="T254" s="54"/>
      <c r="U254" s="54">
        <v>0.94</v>
      </c>
      <c r="V254" s="54"/>
      <c r="W254" s="54"/>
      <c r="X254" s="66">
        <f t="shared" si="11"/>
        <v>0.94</v>
      </c>
      <c r="Y254" s="71">
        <v>72</v>
      </c>
      <c r="Z254" s="192" t="str">
        <f t="shared" si="13"/>
        <v>F</v>
      </c>
      <c r="AA254" s="66"/>
      <c r="AB254" s="66"/>
      <c r="AC254" s="66"/>
      <c r="AD254" s="172"/>
      <c r="AE254" s="172"/>
      <c r="AF254" s="172"/>
      <c r="AG254" s="172"/>
      <c r="AH254" s="172"/>
      <c r="AI254" s="172"/>
      <c r="AJ254" s="172"/>
      <c r="AK254" s="172"/>
      <c r="AL254" s="172"/>
    </row>
    <row r="255" spans="1:38" s="45" customFormat="1">
      <c r="A255" s="53"/>
      <c r="B255" s="290" t="s">
        <v>1276</v>
      </c>
      <c r="C255" s="291">
        <v>1989</v>
      </c>
      <c r="D255" s="66"/>
      <c r="E255" s="60" t="s">
        <v>49</v>
      </c>
      <c r="F255" s="54"/>
      <c r="G255" s="54"/>
      <c r="H255" s="54"/>
      <c r="I255" s="54"/>
      <c r="J255" s="294" t="s">
        <v>1013</v>
      </c>
      <c r="K255" s="294" t="s">
        <v>1002</v>
      </c>
      <c r="L255" s="163"/>
      <c r="M255" s="54"/>
      <c r="N255" s="54"/>
      <c r="O255" t="s">
        <v>1230</v>
      </c>
      <c r="P255" s="54"/>
      <c r="Q255" s="54"/>
      <c r="R255">
        <v>0.94</v>
      </c>
      <c r="S255" s="54"/>
      <c r="T255" s="54"/>
      <c r="U255" s="54"/>
      <c r="V255" s="54"/>
      <c r="W255" s="54"/>
      <c r="X255" s="66">
        <f t="shared" si="11"/>
        <v>0.94</v>
      </c>
      <c r="Y255">
        <v>56</v>
      </c>
      <c r="Z255" s="192" t="str">
        <f t="shared" si="13"/>
        <v>F</v>
      </c>
      <c r="AA255" s="66"/>
      <c r="AB255" s="66"/>
      <c r="AC255" s="66"/>
      <c r="AD255" s="172"/>
      <c r="AE255" s="172"/>
      <c r="AF255" s="172"/>
      <c r="AG255" s="172"/>
      <c r="AH255" s="172"/>
      <c r="AI255" s="172"/>
      <c r="AJ255" s="172"/>
      <c r="AK255" s="172"/>
      <c r="AL255" s="172"/>
    </row>
    <row r="256" spans="1:38" s="45" customFormat="1">
      <c r="A256" s="53">
        <v>46</v>
      </c>
      <c r="B256" s="60" t="s">
        <v>45</v>
      </c>
      <c r="C256" s="60">
        <v>1984</v>
      </c>
      <c r="D256" s="60" t="s">
        <v>113</v>
      </c>
      <c r="E256" s="56" t="s">
        <v>49</v>
      </c>
      <c r="F256" s="54">
        <v>1983</v>
      </c>
      <c r="G256" s="54" t="s">
        <v>116</v>
      </c>
      <c r="H256" s="54" t="s">
        <v>95</v>
      </c>
      <c r="I256" s="54"/>
      <c r="J256" s="54" t="s">
        <v>1013</v>
      </c>
      <c r="K256" s="54" t="s">
        <v>1134</v>
      </c>
      <c r="L256" s="54" t="s">
        <v>117</v>
      </c>
      <c r="M256" s="54"/>
      <c r="N256" s="54"/>
      <c r="O256" s="54" t="s">
        <v>134</v>
      </c>
      <c r="P256" s="54">
        <v>0.94</v>
      </c>
      <c r="Q256" s="54"/>
      <c r="R256" s="54">
        <f>+P256</f>
        <v>0.94</v>
      </c>
      <c r="S256" s="54"/>
      <c r="T256" s="54"/>
      <c r="U256" s="54"/>
      <c r="V256" s="54"/>
      <c r="W256" s="54"/>
      <c r="X256" s="66">
        <f t="shared" si="11"/>
        <v>0.94</v>
      </c>
      <c r="Y256" s="71">
        <v>56</v>
      </c>
      <c r="Z256" s="192" t="str">
        <f t="shared" si="13"/>
        <v>F</v>
      </c>
      <c r="AA256" s="66"/>
      <c r="AB256" s="66"/>
      <c r="AC256" s="66"/>
      <c r="AD256" s="172"/>
      <c r="AE256" s="172"/>
      <c r="AF256" s="172"/>
      <c r="AG256" s="172"/>
      <c r="AH256" s="172"/>
      <c r="AI256" s="172"/>
      <c r="AJ256" s="172"/>
      <c r="AK256" s="172"/>
      <c r="AL256" s="172"/>
    </row>
    <row r="257" spans="1:38" s="45" customFormat="1">
      <c r="A257" s="53">
        <v>181</v>
      </c>
      <c r="B257" s="54" t="s">
        <v>766</v>
      </c>
      <c r="C257" s="54">
        <v>2009</v>
      </c>
      <c r="D257" s="90" t="s">
        <v>767</v>
      </c>
      <c r="E257" s="84" t="s">
        <v>49</v>
      </c>
      <c r="F257" s="85" t="s">
        <v>814</v>
      </c>
      <c r="G257" s="54" t="s">
        <v>774</v>
      </c>
      <c r="H257" s="74" t="s">
        <v>581</v>
      </c>
      <c r="I257" s="74"/>
      <c r="J257" s="74" t="s">
        <v>1013</v>
      </c>
      <c r="K257" s="74" t="s">
        <v>1096</v>
      </c>
      <c r="L257" s="85" t="s">
        <v>775</v>
      </c>
      <c r="M257" s="85" t="s">
        <v>164</v>
      </c>
      <c r="N257" s="85"/>
      <c r="O257" s="85" t="s">
        <v>815</v>
      </c>
      <c r="P257" s="85"/>
      <c r="Q257" s="85"/>
      <c r="R257" s="54"/>
      <c r="S257" s="54"/>
      <c r="T257" s="54"/>
      <c r="U257" s="93">
        <v>0.93836761499999999</v>
      </c>
      <c r="V257" s="166"/>
      <c r="W257" s="166"/>
      <c r="X257" s="66">
        <f t="shared" si="11"/>
        <v>0.93836761499999999</v>
      </c>
      <c r="Y257" s="87">
        <v>70.120979039999995</v>
      </c>
      <c r="Z257" s="192" t="str">
        <f t="shared" si="13"/>
        <v>F</v>
      </c>
      <c r="AA257" s="66"/>
      <c r="AB257" s="66"/>
      <c r="AC257" s="66"/>
      <c r="AD257" s="172"/>
      <c r="AE257" s="172"/>
      <c r="AF257" s="172"/>
      <c r="AG257" s="172"/>
      <c r="AH257" s="172"/>
      <c r="AI257" s="172"/>
      <c r="AJ257" s="172"/>
      <c r="AK257" s="172"/>
      <c r="AL257" s="172"/>
    </row>
    <row r="258" spans="1:38" s="45" customFormat="1">
      <c r="A258" s="53"/>
      <c r="B258" s="290" t="s">
        <v>1276</v>
      </c>
      <c r="C258" s="291">
        <v>1989</v>
      </c>
      <c r="D258" s="66"/>
      <c r="E258" s="60" t="s">
        <v>49</v>
      </c>
      <c r="F258" s="54"/>
      <c r="G258" s="54"/>
      <c r="H258" s="54"/>
      <c r="I258" s="54"/>
      <c r="J258" s="294" t="s">
        <v>1013</v>
      </c>
      <c r="K258" s="294" t="s">
        <v>1002</v>
      </c>
      <c r="L258" s="163"/>
      <c r="M258" s="54"/>
      <c r="N258" s="54"/>
      <c r="O258" t="s">
        <v>1234</v>
      </c>
      <c r="P258" s="54"/>
      <c r="Q258" s="54"/>
      <c r="R258">
        <v>0.93600000000000005</v>
      </c>
      <c r="S258" s="54"/>
      <c r="T258" s="54"/>
      <c r="U258" s="54"/>
      <c r="V258" s="54"/>
      <c r="W258" s="54"/>
      <c r="X258" s="66">
        <f t="shared" si="11"/>
        <v>0.93600000000000005</v>
      </c>
      <c r="Y258">
        <v>63</v>
      </c>
      <c r="Z258" s="192" t="str">
        <f t="shared" si="13"/>
        <v>F</v>
      </c>
      <c r="AA258" s="66"/>
      <c r="AB258" s="66"/>
      <c r="AC258" s="66"/>
      <c r="AD258" s="172"/>
      <c r="AE258" s="172"/>
      <c r="AF258" s="172"/>
      <c r="AG258" s="172"/>
      <c r="AH258" s="172"/>
      <c r="AI258" s="172"/>
      <c r="AJ258" s="172"/>
      <c r="AK258" s="172"/>
      <c r="AL258" s="172"/>
    </row>
    <row r="259" spans="1:38" s="45" customFormat="1">
      <c r="A259" s="53"/>
      <c r="B259" s="290" t="s">
        <v>1276</v>
      </c>
      <c r="C259" s="291">
        <v>1989</v>
      </c>
      <c r="D259" s="66"/>
      <c r="E259" s="60" t="s">
        <v>49</v>
      </c>
      <c r="F259" s="54"/>
      <c r="G259" s="54"/>
      <c r="H259" s="54"/>
      <c r="I259" s="54"/>
      <c r="J259" s="294" t="s">
        <v>1013</v>
      </c>
      <c r="K259" s="294" t="s">
        <v>1002</v>
      </c>
      <c r="L259" s="163"/>
      <c r="M259" s="54"/>
      <c r="N259" s="54"/>
      <c r="O259" t="s">
        <v>1254</v>
      </c>
      <c r="P259" s="54"/>
      <c r="Q259" s="54"/>
      <c r="R259">
        <v>0.93500000000000005</v>
      </c>
      <c r="S259" s="54"/>
      <c r="T259" s="54"/>
      <c r="U259" s="54"/>
      <c r="V259" s="54"/>
      <c r="W259" s="54"/>
      <c r="X259" s="66">
        <f t="shared" si="11"/>
        <v>0.93500000000000005</v>
      </c>
      <c r="Y259">
        <v>63</v>
      </c>
      <c r="Z259" s="192" t="str">
        <f t="shared" si="13"/>
        <v>F</v>
      </c>
      <c r="AA259" s="66"/>
      <c r="AB259" s="66"/>
      <c r="AC259" s="66"/>
      <c r="AD259" s="172"/>
      <c r="AE259" s="172"/>
      <c r="AF259" s="172"/>
      <c r="AG259" s="172"/>
      <c r="AH259" s="172"/>
      <c r="AI259" s="172"/>
      <c r="AJ259" s="172"/>
      <c r="AK259" s="172"/>
      <c r="AL259" s="172"/>
    </row>
    <row r="260" spans="1:38" s="45" customFormat="1">
      <c r="A260" s="53">
        <v>172</v>
      </c>
      <c r="B260" s="54" t="s">
        <v>585</v>
      </c>
      <c r="C260" s="54">
        <v>2010</v>
      </c>
      <c r="D260" s="54" t="s">
        <v>586</v>
      </c>
      <c r="E260" s="56" t="s">
        <v>589</v>
      </c>
      <c r="F260" s="57">
        <v>40234</v>
      </c>
      <c r="G260" s="54" t="s">
        <v>631</v>
      </c>
      <c r="H260" s="54" t="s">
        <v>159</v>
      </c>
      <c r="I260" s="54"/>
      <c r="J260" s="66" t="s">
        <v>1013</v>
      </c>
      <c r="K260" s="54" t="s">
        <v>1068</v>
      </c>
      <c r="L260" s="54" t="s">
        <v>632</v>
      </c>
      <c r="M260" s="88" t="s">
        <v>633</v>
      </c>
      <c r="N260" s="88"/>
      <c r="O260" s="54"/>
      <c r="P260" s="60"/>
      <c r="Q260" s="60"/>
      <c r="R260" s="54"/>
      <c r="S260" s="54"/>
      <c r="T260" s="54"/>
      <c r="U260" s="61">
        <v>0.93400000000000005</v>
      </c>
      <c r="V260" s="70"/>
      <c r="W260" s="70"/>
      <c r="X260" s="66">
        <f t="shared" si="11"/>
        <v>0.93400000000000005</v>
      </c>
      <c r="Y260" s="71">
        <v>80.61</v>
      </c>
      <c r="Z260" s="192" t="str">
        <f t="shared" si="13"/>
        <v>F</v>
      </c>
      <c r="AA260" s="66"/>
      <c r="AB260" s="66"/>
      <c r="AC260" s="66"/>
      <c r="AD260" s="172"/>
      <c r="AE260" s="172"/>
      <c r="AF260" s="172"/>
      <c r="AG260" s="172"/>
      <c r="AH260" s="172"/>
      <c r="AI260" s="172"/>
      <c r="AJ260" s="172"/>
      <c r="AK260" s="172"/>
      <c r="AL260" s="172"/>
    </row>
    <row r="261" spans="1:38" s="45" customFormat="1">
      <c r="A261" s="53"/>
      <c r="B261" s="290" t="s">
        <v>1276</v>
      </c>
      <c r="C261" s="291">
        <v>1989</v>
      </c>
      <c r="D261" s="66"/>
      <c r="E261" s="60" t="s">
        <v>49</v>
      </c>
      <c r="F261" s="54"/>
      <c r="G261" s="54"/>
      <c r="H261" s="54"/>
      <c r="I261" s="54"/>
      <c r="J261" s="294" t="s">
        <v>1013</v>
      </c>
      <c r="K261" s="294" t="s">
        <v>1002</v>
      </c>
      <c r="L261" s="163"/>
      <c r="M261" s="54"/>
      <c r="N261" s="54"/>
      <c r="O261" t="s">
        <v>1235</v>
      </c>
      <c r="P261" s="54"/>
      <c r="Q261" s="54"/>
      <c r="R261">
        <v>0.93300000000000005</v>
      </c>
      <c r="S261" s="54"/>
      <c r="T261" s="54"/>
      <c r="U261" s="54"/>
      <c r="V261" s="54"/>
      <c r="W261" s="54"/>
      <c r="X261" s="66">
        <f t="shared" si="11"/>
        <v>0.93300000000000005</v>
      </c>
      <c r="Y261">
        <v>63</v>
      </c>
      <c r="Z261" s="192" t="str">
        <f t="shared" si="13"/>
        <v>F</v>
      </c>
      <c r="AA261" s="66"/>
      <c r="AB261" s="66"/>
      <c r="AC261" s="66"/>
      <c r="AD261" s="172"/>
      <c r="AE261" s="172"/>
      <c r="AF261" s="172"/>
      <c r="AG261" s="172"/>
      <c r="AH261" s="172"/>
      <c r="AI261" s="172"/>
      <c r="AJ261" s="172"/>
      <c r="AK261" s="172"/>
      <c r="AL261" s="172"/>
    </row>
    <row r="262" spans="1:38" s="45" customFormat="1">
      <c r="A262" s="53">
        <v>181</v>
      </c>
      <c r="B262" s="54" t="s">
        <v>766</v>
      </c>
      <c r="C262" s="54">
        <v>2009</v>
      </c>
      <c r="D262" s="90" t="s">
        <v>767</v>
      </c>
      <c r="E262" s="84" t="s">
        <v>49</v>
      </c>
      <c r="F262" s="85" t="s">
        <v>773</v>
      </c>
      <c r="G262" s="54" t="s">
        <v>774</v>
      </c>
      <c r="H262" s="74" t="s">
        <v>581</v>
      </c>
      <c r="I262" s="74"/>
      <c r="J262" s="74" t="s">
        <v>1013</v>
      </c>
      <c r="K262" s="74" t="s">
        <v>1096</v>
      </c>
      <c r="L262" s="85" t="s">
        <v>775</v>
      </c>
      <c r="M262" s="85" t="s">
        <v>164</v>
      </c>
      <c r="N262" s="85"/>
      <c r="O262" s="85" t="s">
        <v>826</v>
      </c>
      <c r="P262" s="85"/>
      <c r="Q262" s="85"/>
      <c r="R262" s="54"/>
      <c r="S262" s="54"/>
      <c r="T262" s="54"/>
      <c r="U262" s="93">
        <v>0.93163082699999999</v>
      </c>
      <c r="V262" s="166"/>
      <c r="W262" s="166"/>
      <c r="X262" s="66">
        <f t="shared" si="11"/>
        <v>0.93163082699999999</v>
      </c>
      <c r="Y262" s="87">
        <v>77.895614190000003</v>
      </c>
      <c r="Z262" s="192" t="str">
        <f t="shared" si="13"/>
        <v>F</v>
      </c>
      <c r="AA262" s="66"/>
      <c r="AB262" s="66"/>
      <c r="AC262" s="66"/>
      <c r="AD262" s="172"/>
      <c r="AE262" s="172"/>
      <c r="AF262" s="172"/>
      <c r="AG262" s="172"/>
      <c r="AH262" s="172"/>
      <c r="AI262" s="172"/>
      <c r="AJ262" s="172"/>
      <c r="AK262" s="172"/>
      <c r="AL262" s="172"/>
    </row>
    <row r="263" spans="1:38" s="45" customFormat="1">
      <c r="A263" s="53">
        <v>203</v>
      </c>
      <c r="B263" s="73" t="s">
        <v>940</v>
      </c>
      <c r="C263" s="54">
        <v>2011</v>
      </c>
      <c r="D263" s="73" t="s">
        <v>941</v>
      </c>
      <c r="E263" s="56" t="s">
        <v>20</v>
      </c>
      <c r="F263" s="54">
        <v>2009</v>
      </c>
      <c r="G263" s="54" t="s">
        <v>326</v>
      </c>
      <c r="H263" s="54"/>
      <c r="I263" s="54"/>
      <c r="J263" s="66" t="s">
        <v>1013</v>
      </c>
      <c r="K263" s="54" t="s">
        <v>1091</v>
      </c>
      <c r="L263" s="54" t="s">
        <v>725</v>
      </c>
      <c r="M263" s="54"/>
      <c r="N263" s="54"/>
      <c r="O263" s="54">
        <v>38</v>
      </c>
      <c r="P263" s="54"/>
      <c r="Q263" s="54"/>
      <c r="R263" s="54"/>
      <c r="S263" s="54"/>
      <c r="T263" s="54"/>
      <c r="U263" s="54">
        <v>0.93</v>
      </c>
      <c r="V263" s="54"/>
      <c r="W263" s="54"/>
      <c r="X263" s="66">
        <f t="shared" si="11"/>
        <v>0.93</v>
      </c>
      <c r="Y263" s="71">
        <v>82.9</v>
      </c>
      <c r="Z263" s="192" t="str">
        <f t="shared" si="13"/>
        <v>F</v>
      </c>
      <c r="AA263" s="66"/>
      <c r="AB263" s="66"/>
      <c r="AC263" s="66"/>
      <c r="AD263" s="172"/>
      <c r="AE263" s="172"/>
      <c r="AF263" s="172"/>
      <c r="AG263" s="172"/>
      <c r="AH263" s="172"/>
      <c r="AI263" s="172"/>
      <c r="AJ263" s="172"/>
      <c r="AK263" s="172"/>
      <c r="AL263" s="172"/>
    </row>
    <row r="264" spans="1:38" s="45" customFormat="1">
      <c r="A264" s="53"/>
      <c r="B264" s="290" t="s">
        <v>1276</v>
      </c>
      <c r="C264" s="291">
        <v>1989</v>
      </c>
      <c r="D264" s="66"/>
      <c r="E264" s="60" t="s">
        <v>49</v>
      </c>
      <c r="F264" s="54"/>
      <c r="G264" s="54"/>
      <c r="H264" s="54"/>
      <c r="I264" s="54"/>
      <c r="J264" s="294" t="s">
        <v>1013</v>
      </c>
      <c r="K264" s="294" t="s">
        <v>1002</v>
      </c>
      <c r="L264" s="163"/>
      <c r="M264" s="54"/>
      <c r="N264" s="54"/>
      <c r="O264" t="s">
        <v>1231</v>
      </c>
      <c r="P264" s="54"/>
      <c r="Q264" s="54"/>
      <c r="R264">
        <v>0.93</v>
      </c>
      <c r="S264" s="54"/>
      <c r="T264" s="54"/>
      <c r="U264" s="54"/>
      <c r="V264" s="54"/>
      <c r="W264" s="54"/>
      <c r="X264" s="66">
        <f t="shared" si="11"/>
        <v>0.93</v>
      </c>
      <c r="Y264">
        <v>66</v>
      </c>
      <c r="Z264" s="192" t="str">
        <f t="shared" si="13"/>
        <v>F</v>
      </c>
      <c r="AA264" s="66"/>
      <c r="AB264" s="66"/>
      <c r="AC264" s="66"/>
      <c r="AD264" s="172"/>
      <c r="AE264" s="172"/>
      <c r="AF264" s="172"/>
      <c r="AG264" s="172"/>
      <c r="AH264" s="172"/>
      <c r="AI264" s="172"/>
      <c r="AJ264" s="172"/>
      <c r="AK264" s="172"/>
      <c r="AL264" s="172"/>
    </row>
    <row r="265" spans="1:38" s="45" customFormat="1">
      <c r="A265" s="53"/>
      <c r="B265" s="290" t="s">
        <v>1276</v>
      </c>
      <c r="C265" s="291">
        <v>1989</v>
      </c>
      <c r="D265" s="66"/>
      <c r="E265" s="60" t="s">
        <v>49</v>
      </c>
      <c r="F265" s="54"/>
      <c r="G265" s="54"/>
      <c r="H265" s="54"/>
      <c r="I265" s="54"/>
      <c r="J265" s="294" t="s">
        <v>1013</v>
      </c>
      <c r="K265" s="294" t="s">
        <v>1257</v>
      </c>
      <c r="L265" s="39"/>
      <c r="O265" t="s">
        <v>1267</v>
      </c>
      <c r="R265">
        <v>0.92800000000000005</v>
      </c>
      <c r="S265"/>
      <c r="U265" s="54"/>
      <c r="V265" s="54"/>
      <c r="W265" s="54"/>
      <c r="X265" s="66">
        <f t="shared" si="11"/>
        <v>0.92800000000000005</v>
      </c>
      <c r="Y265">
        <v>40</v>
      </c>
      <c r="Z265" s="192" t="str">
        <f t="shared" si="13"/>
        <v>F</v>
      </c>
      <c r="AA265" s="66"/>
      <c r="AB265" s="66"/>
      <c r="AC265" s="66"/>
      <c r="AD265" s="172"/>
      <c r="AE265" s="172"/>
      <c r="AF265" s="172"/>
      <c r="AG265" s="172"/>
      <c r="AH265" s="172"/>
      <c r="AI265" s="172"/>
      <c r="AJ265" s="172"/>
      <c r="AK265" s="172"/>
      <c r="AL265" s="172"/>
    </row>
    <row r="266" spans="1:38" s="45" customFormat="1">
      <c r="A266" s="53">
        <v>181</v>
      </c>
      <c r="B266" s="54" t="s">
        <v>766</v>
      </c>
      <c r="C266" s="54">
        <v>2009</v>
      </c>
      <c r="D266" s="90" t="s">
        <v>767</v>
      </c>
      <c r="E266" s="84" t="s">
        <v>49</v>
      </c>
      <c r="F266" s="85" t="s">
        <v>806</v>
      </c>
      <c r="G266" s="54" t="s">
        <v>777</v>
      </c>
      <c r="H266" s="74" t="s">
        <v>581</v>
      </c>
      <c r="I266" s="74"/>
      <c r="J266" s="74" t="s">
        <v>1013</v>
      </c>
      <c r="K266" s="74" t="s">
        <v>1096</v>
      </c>
      <c r="L266" s="85" t="s">
        <v>775</v>
      </c>
      <c r="M266" s="85" t="s">
        <v>164</v>
      </c>
      <c r="N266" s="85"/>
      <c r="O266" s="85" t="s">
        <v>807</v>
      </c>
      <c r="P266" s="85"/>
      <c r="Q266" s="85"/>
      <c r="R266" s="54"/>
      <c r="S266" s="54"/>
      <c r="T266" s="54"/>
      <c r="U266" s="93">
        <v>0.92572142999999996</v>
      </c>
      <c r="V266" s="166"/>
      <c r="W266" s="166"/>
      <c r="X266" s="66">
        <f t="shared" si="11"/>
        <v>0.92572142999999996</v>
      </c>
      <c r="Y266" s="87">
        <v>84.234933139999995</v>
      </c>
      <c r="Z266" s="192" t="str">
        <f t="shared" si="13"/>
        <v>F</v>
      </c>
      <c r="AA266" s="66"/>
      <c r="AB266" s="66"/>
      <c r="AC266" s="66"/>
      <c r="AD266" s="172"/>
      <c r="AE266" s="172"/>
      <c r="AF266" s="172"/>
      <c r="AG266" s="172"/>
      <c r="AH266" s="172"/>
      <c r="AI266" s="172"/>
      <c r="AJ266" s="172"/>
      <c r="AK266" s="172"/>
      <c r="AL266" s="172"/>
    </row>
    <row r="267" spans="1:38" s="45" customFormat="1">
      <c r="A267" s="53"/>
      <c r="B267" s="290" t="s">
        <v>1276</v>
      </c>
      <c r="C267" s="291">
        <v>1989</v>
      </c>
      <c r="D267" s="66"/>
      <c r="E267" s="60" t="s">
        <v>49</v>
      </c>
      <c r="F267" s="54"/>
      <c r="G267" s="54"/>
      <c r="H267" s="54"/>
      <c r="I267" s="54"/>
      <c r="J267" s="294" t="s">
        <v>1013</v>
      </c>
      <c r="K267" s="294" t="s">
        <v>1256</v>
      </c>
      <c r="L267" s="39"/>
      <c r="O267" t="s">
        <v>1259</v>
      </c>
      <c r="R267">
        <v>0.92500000000000004</v>
      </c>
      <c r="S267"/>
      <c r="U267" s="54"/>
      <c r="V267" s="54"/>
      <c r="W267" s="54"/>
      <c r="X267" s="66">
        <f t="shared" ref="X267:X330" si="14">IF(R267&lt;&gt;0,IF(R267&gt;1,R267/100,R267),IF(U267&lt;&gt;0,IF(U267&gt;1,U267/100,U267),""))</f>
        <v>0.92500000000000004</v>
      </c>
      <c r="Y267">
        <v>44</v>
      </c>
      <c r="Z267" s="192" t="str">
        <f t="shared" si="13"/>
        <v>F</v>
      </c>
      <c r="AA267" s="66"/>
      <c r="AB267" s="66"/>
      <c r="AC267" s="66"/>
      <c r="AD267" s="172"/>
      <c r="AE267" s="172"/>
      <c r="AF267" s="172"/>
      <c r="AG267" s="172"/>
      <c r="AH267" s="172"/>
      <c r="AI267" s="172"/>
      <c r="AJ267" s="172"/>
      <c r="AK267" s="172"/>
      <c r="AL267" s="172"/>
    </row>
    <row r="268" spans="1:38" s="45" customFormat="1">
      <c r="A268" s="53">
        <v>181</v>
      </c>
      <c r="B268" s="54" t="s">
        <v>766</v>
      </c>
      <c r="C268" s="54">
        <v>2009</v>
      </c>
      <c r="D268" s="90" t="s">
        <v>767</v>
      </c>
      <c r="E268" s="84" t="s">
        <v>49</v>
      </c>
      <c r="F268" s="85" t="s">
        <v>773</v>
      </c>
      <c r="G268" s="54" t="s">
        <v>832</v>
      </c>
      <c r="H268" s="74" t="s">
        <v>581</v>
      </c>
      <c r="I268" s="74"/>
      <c r="J268" s="74" t="s">
        <v>1013</v>
      </c>
      <c r="K268" s="74" t="s">
        <v>1096</v>
      </c>
      <c r="L268" s="85" t="s">
        <v>775</v>
      </c>
      <c r="M268" s="85" t="s">
        <v>164</v>
      </c>
      <c r="N268" s="85"/>
      <c r="O268" s="85" t="s">
        <v>833</v>
      </c>
      <c r="P268" s="85"/>
      <c r="Q268" s="85"/>
      <c r="R268" s="54"/>
      <c r="S268" s="54"/>
      <c r="T268" s="54"/>
      <c r="U268" s="93">
        <v>0.92401837899999995</v>
      </c>
      <c r="V268" s="166"/>
      <c r="W268" s="166"/>
      <c r="X268" s="66">
        <f t="shared" si="14"/>
        <v>0.92401837899999995</v>
      </c>
      <c r="Y268" s="87">
        <v>86.757514450000002</v>
      </c>
      <c r="Z268" s="192" t="str">
        <f t="shared" ref="Z268:Z299" si="15">IF(X268&lt;&gt;"",IF(X268&lt;0.9,"S","F"),"")</f>
        <v>F</v>
      </c>
      <c r="AA268" s="66"/>
      <c r="AB268" s="66"/>
      <c r="AC268" s="66"/>
      <c r="AD268" s="172"/>
      <c r="AE268" s="172"/>
      <c r="AF268" s="172"/>
      <c r="AG268" s="172"/>
      <c r="AH268" s="172"/>
      <c r="AI268" s="172"/>
      <c r="AJ268" s="172"/>
      <c r="AK268" s="172"/>
      <c r="AL268" s="172"/>
    </row>
    <row r="269" spans="1:38" s="45" customFormat="1">
      <c r="A269" s="53">
        <v>181</v>
      </c>
      <c r="B269" s="54" t="s">
        <v>766</v>
      </c>
      <c r="C269" s="54">
        <v>2009</v>
      </c>
      <c r="D269" s="90" t="s">
        <v>767</v>
      </c>
      <c r="E269" s="84" t="s">
        <v>49</v>
      </c>
      <c r="F269" s="85" t="s">
        <v>820</v>
      </c>
      <c r="G269" s="54" t="s">
        <v>821</v>
      </c>
      <c r="H269" s="74" t="s">
        <v>581</v>
      </c>
      <c r="I269" s="74"/>
      <c r="J269" s="74" t="s">
        <v>1013</v>
      </c>
      <c r="K269" s="74" t="s">
        <v>1096</v>
      </c>
      <c r="L269" s="85" t="s">
        <v>775</v>
      </c>
      <c r="M269" s="85" t="s">
        <v>164</v>
      </c>
      <c r="N269" s="85"/>
      <c r="O269" s="85" t="s">
        <v>822</v>
      </c>
      <c r="P269" s="85"/>
      <c r="Q269" s="85"/>
      <c r="R269" s="54"/>
      <c r="S269" s="54"/>
      <c r="T269" s="54"/>
      <c r="U269" s="93">
        <v>0.92372757000000005</v>
      </c>
      <c r="V269" s="166"/>
      <c r="W269" s="166"/>
      <c r="X269" s="66">
        <f t="shared" si="14"/>
        <v>0.92372757000000005</v>
      </c>
      <c r="Y269" s="87">
        <v>86.610838169999994</v>
      </c>
      <c r="Z269" s="192" t="str">
        <f t="shared" si="15"/>
        <v>F</v>
      </c>
      <c r="AA269" s="66"/>
      <c r="AB269" s="66"/>
      <c r="AC269" s="66"/>
      <c r="AD269" s="172"/>
      <c r="AE269" s="172"/>
      <c r="AF269" s="172"/>
      <c r="AG269" s="172"/>
      <c r="AH269" s="172"/>
      <c r="AI269" s="172"/>
      <c r="AJ269" s="172"/>
      <c r="AK269" s="172"/>
      <c r="AL269" s="172"/>
    </row>
    <row r="270" spans="1:38" s="45" customFormat="1">
      <c r="A270" s="66"/>
      <c r="B270" s="73" t="s">
        <v>766</v>
      </c>
      <c r="C270" s="54">
        <v>2013</v>
      </c>
      <c r="D270" s="66"/>
      <c r="E270" s="56" t="s">
        <v>172</v>
      </c>
      <c r="F270" s="54">
        <v>2011</v>
      </c>
      <c r="G270" s="54" t="s">
        <v>631</v>
      </c>
      <c r="H270" s="66" t="s">
        <v>159</v>
      </c>
      <c r="I270" s="66" t="s">
        <v>1014</v>
      </c>
      <c r="J270" s="74" t="s">
        <v>1013</v>
      </c>
      <c r="K270" s="54" t="s">
        <v>1091</v>
      </c>
      <c r="L270" s="54" t="s">
        <v>974</v>
      </c>
      <c r="M270" s="66"/>
      <c r="N270" s="66"/>
      <c r="O270" s="66" t="s">
        <v>972</v>
      </c>
      <c r="P270" s="66"/>
      <c r="Q270" s="66"/>
      <c r="R270" s="66"/>
      <c r="S270" s="66"/>
      <c r="T270" s="66"/>
      <c r="U270" s="54">
        <v>0.92300000000000004</v>
      </c>
      <c r="V270" s="66"/>
      <c r="W270" s="66"/>
      <c r="X270" s="66">
        <f t="shared" si="14"/>
        <v>0.92300000000000004</v>
      </c>
      <c r="Y270" s="71">
        <v>89.3</v>
      </c>
      <c r="Z270" s="192" t="str">
        <f t="shared" si="15"/>
        <v>F</v>
      </c>
      <c r="AA270" s="66"/>
      <c r="AB270" s="66"/>
      <c r="AC270" s="66"/>
      <c r="AD270" s="172"/>
      <c r="AE270" s="172"/>
      <c r="AF270" s="172"/>
      <c r="AG270" s="172"/>
      <c r="AH270" s="172"/>
      <c r="AI270" s="172"/>
      <c r="AJ270" s="172"/>
      <c r="AK270" s="172"/>
      <c r="AL270" s="172"/>
    </row>
    <row r="271" spans="1:38" s="45" customFormat="1">
      <c r="A271" s="53">
        <v>174</v>
      </c>
      <c r="B271" s="54" t="s">
        <v>697</v>
      </c>
      <c r="C271" s="54">
        <v>2009</v>
      </c>
      <c r="D271" s="78" t="s">
        <v>698</v>
      </c>
      <c r="E271" s="56" t="s">
        <v>20</v>
      </c>
      <c r="F271" s="57" t="s">
        <v>701</v>
      </c>
      <c r="G271" s="54" t="s">
        <v>705</v>
      </c>
      <c r="H271" s="54" t="s">
        <v>159</v>
      </c>
      <c r="I271" s="54"/>
      <c r="J271" s="66" t="s">
        <v>1013</v>
      </c>
      <c r="K271" s="54" t="s">
        <v>1096</v>
      </c>
      <c r="L271" s="54" t="s">
        <v>715</v>
      </c>
      <c r="M271" s="59"/>
      <c r="N271" s="59"/>
      <c r="O271" s="54" t="s">
        <v>715</v>
      </c>
      <c r="P271" s="60"/>
      <c r="Q271" s="60"/>
      <c r="R271" s="54"/>
      <c r="S271" s="54"/>
      <c r="T271" s="54"/>
      <c r="U271" s="61">
        <v>0.92</v>
      </c>
      <c r="V271" s="61"/>
      <c r="W271" s="61"/>
      <c r="X271" s="66">
        <f t="shared" si="14"/>
        <v>0.92</v>
      </c>
      <c r="Y271" s="71">
        <v>88.4</v>
      </c>
      <c r="Z271" s="192" t="str">
        <f t="shared" si="15"/>
        <v>F</v>
      </c>
      <c r="AA271" s="66"/>
      <c r="AB271" s="66"/>
      <c r="AC271" s="66"/>
      <c r="AD271" s="172"/>
      <c r="AE271" s="172"/>
      <c r="AF271" s="172"/>
      <c r="AG271" s="172"/>
      <c r="AH271" s="172"/>
      <c r="AI271" s="172"/>
      <c r="AJ271" s="172"/>
      <c r="AK271" s="172"/>
      <c r="AL271" s="172"/>
    </row>
    <row r="272" spans="1:38" s="45" customFormat="1">
      <c r="A272" s="53">
        <v>174</v>
      </c>
      <c r="B272" s="54" t="s">
        <v>697</v>
      </c>
      <c r="C272" s="54">
        <v>2009</v>
      </c>
      <c r="D272" s="78" t="s">
        <v>698</v>
      </c>
      <c r="E272" s="56" t="s">
        <v>20</v>
      </c>
      <c r="F272" s="57" t="s">
        <v>701</v>
      </c>
      <c r="G272" s="54" t="s">
        <v>705</v>
      </c>
      <c r="H272" s="54" t="s">
        <v>159</v>
      </c>
      <c r="I272" s="54"/>
      <c r="J272" s="66" t="s">
        <v>1013</v>
      </c>
      <c r="K272" s="54" t="s">
        <v>1091</v>
      </c>
      <c r="L272" s="54" t="s">
        <v>725</v>
      </c>
      <c r="M272" s="59"/>
      <c r="N272" s="59"/>
      <c r="O272" s="54" t="s">
        <v>725</v>
      </c>
      <c r="P272" s="60"/>
      <c r="Q272" s="60"/>
      <c r="R272" s="54"/>
      <c r="S272" s="54"/>
      <c r="T272" s="54"/>
      <c r="U272" s="61">
        <v>0.92</v>
      </c>
      <c r="V272" s="61"/>
      <c r="W272" s="61"/>
      <c r="X272" s="66">
        <f t="shared" si="14"/>
        <v>0.92</v>
      </c>
      <c r="Y272" s="71">
        <v>84.6</v>
      </c>
      <c r="Z272" s="192" t="str">
        <f t="shared" si="15"/>
        <v>F</v>
      </c>
      <c r="AA272" s="66"/>
      <c r="AB272" s="66"/>
      <c r="AC272" s="66"/>
      <c r="AD272" s="172"/>
      <c r="AE272" s="172"/>
      <c r="AF272" s="172"/>
      <c r="AG272" s="172"/>
      <c r="AH272" s="172"/>
      <c r="AI272" s="172"/>
      <c r="AJ272" s="172"/>
      <c r="AK272" s="172"/>
      <c r="AL272" s="172"/>
    </row>
    <row r="273" spans="1:38" s="45" customFormat="1">
      <c r="A273" s="53">
        <v>181</v>
      </c>
      <c r="B273" s="54" t="s">
        <v>766</v>
      </c>
      <c r="C273" s="54">
        <v>2009</v>
      </c>
      <c r="D273" s="90" t="s">
        <v>767</v>
      </c>
      <c r="E273" s="84" t="s">
        <v>49</v>
      </c>
      <c r="F273" s="85" t="s">
        <v>806</v>
      </c>
      <c r="G273" s="54" t="s">
        <v>821</v>
      </c>
      <c r="H273" s="74" t="s">
        <v>581</v>
      </c>
      <c r="I273" s="74"/>
      <c r="J273" s="74" t="s">
        <v>1013</v>
      </c>
      <c r="K273" s="74" t="s">
        <v>1096</v>
      </c>
      <c r="L273" s="85" t="s">
        <v>775</v>
      </c>
      <c r="M273" s="85" t="s">
        <v>164</v>
      </c>
      <c r="N273" s="85"/>
      <c r="O273" s="85" t="s">
        <v>823</v>
      </c>
      <c r="P273" s="85"/>
      <c r="Q273" s="85"/>
      <c r="R273" s="54"/>
      <c r="S273" s="54"/>
      <c r="T273" s="54"/>
      <c r="U273" s="93">
        <v>0.91865929800000001</v>
      </c>
      <c r="V273" s="166"/>
      <c r="W273" s="166"/>
      <c r="X273" s="66">
        <f t="shared" si="14"/>
        <v>0.91865929800000001</v>
      </c>
      <c r="Y273" s="87">
        <v>92.346491639999996</v>
      </c>
      <c r="Z273" s="192" t="str">
        <f t="shared" si="15"/>
        <v>F</v>
      </c>
      <c r="AA273" s="66"/>
      <c r="AB273" s="66"/>
      <c r="AC273" s="66"/>
      <c r="AD273" s="172"/>
      <c r="AE273" s="172"/>
      <c r="AF273" s="172"/>
      <c r="AG273" s="172"/>
      <c r="AH273" s="172"/>
      <c r="AI273" s="172"/>
      <c r="AJ273" s="172"/>
      <c r="AK273" s="172"/>
      <c r="AL273" s="172"/>
    </row>
    <row r="274" spans="1:38" s="45" customFormat="1">
      <c r="A274" s="53">
        <v>181</v>
      </c>
      <c r="B274" s="54" t="s">
        <v>766</v>
      </c>
      <c r="C274" s="54">
        <v>2009</v>
      </c>
      <c r="D274" s="90" t="s">
        <v>767</v>
      </c>
      <c r="E274" s="84" t="s">
        <v>49</v>
      </c>
      <c r="F274" s="85" t="s">
        <v>780</v>
      </c>
      <c r="G274" s="54" t="s">
        <v>786</v>
      </c>
      <c r="H274" s="74" t="s">
        <v>159</v>
      </c>
      <c r="I274" s="74"/>
      <c r="J274" s="74" t="s">
        <v>1013</v>
      </c>
      <c r="K274" s="74" t="s">
        <v>1096</v>
      </c>
      <c r="L274" s="85" t="s">
        <v>782</v>
      </c>
      <c r="M274" s="85" t="s">
        <v>164</v>
      </c>
      <c r="N274" s="85"/>
      <c r="O274" s="85" t="s">
        <v>840</v>
      </c>
      <c r="P274" s="85"/>
      <c r="Q274" s="85"/>
      <c r="R274" s="54"/>
      <c r="S274" s="54"/>
      <c r="T274" s="54"/>
      <c r="U274" s="93">
        <v>0.91831407899999995</v>
      </c>
      <c r="V274" s="166"/>
      <c r="W274" s="166"/>
      <c r="X274" s="66">
        <f t="shared" si="14"/>
        <v>0.91831407899999995</v>
      </c>
      <c r="Y274" s="87">
        <v>92.851658520000001</v>
      </c>
      <c r="Z274" s="192" t="str">
        <f t="shared" si="15"/>
        <v>F</v>
      </c>
      <c r="AA274" s="66"/>
      <c r="AB274" s="66"/>
      <c r="AC274" s="66"/>
      <c r="AD274" s="172"/>
      <c r="AE274" s="172"/>
      <c r="AF274" s="172"/>
      <c r="AG274" s="172"/>
      <c r="AH274" s="172"/>
      <c r="AI274" s="172"/>
      <c r="AJ274" s="172"/>
      <c r="AK274" s="172"/>
      <c r="AL274" s="172"/>
    </row>
    <row r="275" spans="1:38" s="45" customFormat="1">
      <c r="A275" s="53">
        <v>181</v>
      </c>
      <c r="B275" s="54" t="s">
        <v>766</v>
      </c>
      <c r="C275" s="54">
        <v>2009</v>
      </c>
      <c r="D275" s="90" t="s">
        <v>767</v>
      </c>
      <c r="E275" s="84" t="s">
        <v>49</v>
      </c>
      <c r="F275" s="85" t="s">
        <v>806</v>
      </c>
      <c r="G275" s="54" t="s">
        <v>777</v>
      </c>
      <c r="H275" s="74" t="s">
        <v>581</v>
      </c>
      <c r="I275" s="74"/>
      <c r="J275" s="74" t="s">
        <v>1013</v>
      </c>
      <c r="K275" s="74" t="s">
        <v>1096</v>
      </c>
      <c r="L275" s="85" t="s">
        <v>775</v>
      </c>
      <c r="M275" s="85" t="s">
        <v>164</v>
      </c>
      <c r="N275" s="85"/>
      <c r="O275" s="85" t="s">
        <v>828</v>
      </c>
      <c r="P275" s="85"/>
      <c r="Q275" s="85"/>
      <c r="R275" s="54"/>
      <c r="S275" s="54"/>
      <c r="T275" s="54"/>
      <c r="U275" s="93">
        <v>0.91809654699999999</v>
      </c>
      <c r="V275" s="166"/>
      <c r="W275" s="166"/>
      <c r="X275" s="66">
        <f t="shared" si="14"/>
        <v>0.91809654699999999</v>
      </c>
      <c r="Y275" s="87">
        <v>93.098951159999999</v>
      </c>
      <c r="Z275" s="192" t="str">
        <f t="shared" si="15"/>
        <v>F</v>
      </c>
      <c r="AA275" s="66"/>
      <c r="AB275" s="66"/>
      <c r="AC275" s="66"/>
      <c r="AD275" s="172"/>
      <c r="AE275" s="172"/>
      <c r="AF275" s="172"/>
      <c r="AG275" s="172"/>
      <c r="AH275" s="172"/>
      <c r="AI275" s="172"/>
      <c r="AJ275" s="172"/>
      <c r="AK275" s="172"/>
      <c r="AL275" s="172"/>
    </row>
    <row r="276" spans="1:38" s="45" customFormat="1">
      <c r="A276" s="66"/>
      <c r="B276" s="73" t="s">
        <v>766</v>
      </c>
      <c r="C276" s="54">
        <v>2013</v>
      </c>
      <c r="D276" s="66"/>
      <c r="E276" s="56" t="s">
        <v>172</v>
      </c>
      <c r="F276" s="54">
        <v>2011</v>
      </c>
      <c r="G276" s="54" t="s">
        <v>631</v>
      </c>
      <c r="H276" s="66" t="s">
        <v>159</v>
      </c>
      <c r="I276" s="66" t="s">
        <v>1014</v>
      </c>
      <c r="J276" s="74" t="s">
        <v>1013</v>
      </c>
      <c r="K276" s="54" t="s">
        <v>1091</v>
      </c>
      <c r="L276" s="54" t="s">
        <v>978</v>
      </c>
      <c r="M276" s="66"/>
      <c r="N276" s="66"/>
      <c r="O276" s="66" t="s">
        <v>977</v>
      </c>
      <c r="P276" s="66"/>
      <c r="Q276" s="66"/>
      <c r="R276" s="66"/>
      <c r="S276" s="66"/>
      <c r="T276" s="66"/>
      <c r="U276" s="54">
        <v>0.91800000000000004</v>
      </c>
      <c r="V276" s="66"/>
      <c r="W276" s="66"/>
      <c r="X276" s="66">
        <f t="shared" si="14"/>
        <v>0.91800000000000004</v>
      </c>
      <c r="Y276" s="71">
        <v>94.9</v>
      </c>
      <c r="Z276" s="192" t="str">
        <f t="shared" si="15"/>
        <v>F</v>
      </c>
      <c r="AA276" s="66"/>
      <c r="AB276" s="66"/>
      <c r="AC276" s="66"/>
      <c r="AD276" s="172"/>
      <c r="AE276" s="172"/>
      <c r="AF276" s="172"/>
      <c r="AG276" s="172"/>
      <c r="AH276" s="172"/>
      <c r="AI276" s="172"/>
      <c r="AJ276" s="172"/>
      <c r="AK276" s="172"/>
      <c r="AL276" s="172"/>
    </row>
    <row r="277" spans="1:38" s="45" customFormat="1">
      <c r="A277" s="53">
        <v>181</v>
      </c>
      <c r="B277" s="54" t="s">
        <v>766</v>
      </c>
      <c r="C277" s="54">
        <v>2009</v>
      </c>
      <c r="D277" s="90" t="s">
        <v>767</v>
      </c>
      <c r="E277" s="90" t="s">
        <v>49</v>
      </c>
      <c r="F277" s="79"/>
      <c r="G277" s="54" t="s">
        <v>777</v>
      </c>
      <c r="H277" s="78" t="s">
        <v>581</v>
      </c>
      <c r="I277" s="78"/>
      <c r="J277" s="74" t="s">
        <v>1013</v>
      </c>
      <c r="K277" s="74" t="s">
        <v>1096</v>
      </c>
      <c r="L277" s="79" t="s">
        <v>775</v>
      </c>
      <c r="M277" s="79" t="s">
        <v>164</v>
      </c>
      <c r="N277" s="79"/>
      <c r="O277" s="79" t="s">
        <v>779</v>
      </c>
      <c r="P277" s="79"/>
      <c r="Q277" s="79"/>
      <c r="R277" s="54"/>
      <c r="S277" s="54"/>
      <c r="T277" s="54"/>
      <c r="U277" s="94">
        <v>0.91637743400000005</v>
      </c>
      <c r="V277" s="165"/>
      <c r="W277" s="165"/>
      <c r="X277" s="66">
        <f t="shared" si="14"/>
        <v>0.91637743400000005</v>
      </c>
      <c r="Y277" s="82">
        <v>94.206533280000002</v>
      </c>
      <c r="Z277" s="192" t="str">
        <f t="shared" si="15"/>
        <v>F</v>
      </c>
      <c r="AA277" s="66"/>
      <c r="AB277" s="66"/>
      <c r="AC277" s="66"/>
      <c r="AD277" s="172"/>
      <c r="AE277" s="172"/>
      <c r="AF277" s="172"/>
      <c r="AG277" s="172"/>
      <c r="AH277" s="172"/>
      <c r="AI277" s="172"/>
      <c r="AJ277" s="172"/>
      <c r="AK277" s="172"/>
      <c r="AL277" s="172"/>
    </row>
    <row r="278" spans="1:38" s="45" customFormat="1">
      <c r="A278" s="53">
        <v>181</v>
      </c>
      <c r="B278" s="54" t="s">
        <v>766</v>
      </c>
      <c r="C278" s="54">
        <v>2009</v>
      </c>
      <c r="D278" s="90" t="s">
        <v>767</v>
      </c>
      <c r="E278" s="84" t="s">
        <v>49</v>
      </c>
      <c r="F278" s="85"/>
      <c r="G278" s="54" t="s">
        <v>777</v>
      </c>
      <c r="H278" s="74" t="s">
        <v>581</v>
      </c>
      <c r="I278" s="74"/>
      <c r="J278" s="74" t="s">
        <v>1013</v>
      </c>
      <c r="K278" s="74" t="s">
        <v>1096</v>
      </c>
      <c r="L278" s="85" t="s">
        <v>775</v>
      </c>
      <c r="M278" s="85" t="s">
        <v>164</v>
      </c>
      <c r="N278" s="85"/>
      <c r="O278" s="85" t="s">
        <v>779</v>
      </c>
      <c r="P278" s="85"/>
      <c r="Q278" s="85"/>
      <c r="R278" s="54"/>
      <c r="S278" s="54"/>
      <c r="T278" s="54"/>
      <c r="U278" s="93">
        <v>0.91637743400000005</v>
      </c>
      <c r="V278" s="166"/>
      <c r="W278" s="166"/>
      <c r="X278" s="66">
        <f t="shared" si="14"/>
        <v>0.91637743400000005</v>
      </c>
      <c r="Y278" s="87">
        <v>94.206533280000002</v>
      </c>
      <c r="Z278" s="192" t="str">
        <f t="shared" si="15"/>
        <v>F</v>
      </c>
      <c r="AA278" s="66"/>
      <c r="AB278" s="66"/>
      <c r="AC278" s="66"/>
      <c r="AD278" s="172"/>
      <c r="AE278" s="172"/>
      <c r="AF278" s="172"/>
      <c r="AG278" s="172"/>
      <c r="AH278" s="172"/>
      <c r="AI278" s="172"/>
      <c r="AJ278" s="172"/>
      <c r="AK278" s="172"/>
      <c r="AL278" s="172"/>
    </row>
    <row r="279" spans="1:38" s="45" customFormat="1">
      <c r="A279" s="53">
        <v>181</v>
      </c>
      <c r="B279" s="54" t="s">
        <v>766</v>
      </c>
      <c r="C279" s="54">
        <v>2009</v>
      </c>
      <c r="D279" s="90" t="s">
        <v>767</v>
      </c>
      <c r="E279" s="84" t="s">
        <v>49</v>
      </c>
      <c r="F279" s="85" t="s">
        <v>780</v>
      </c>
      <c r="G279" s="54" t="s">
        <v>781</v>
      </c>
      <c r="H279" s="74" t="s">
        <v>95</v>
      </c>
      <c r="I279" s="74"/>
      <c r="J279" s="78" t="s">
        <v>1013</v>
      </c>
      <c r="K279" s="78" t="s">
        <v>1096</v>
      </c>
      <c r="L279" s="85" t="s">
        <v>782</v>
      </c>
      <c r="M279" s="85" t="s">
        <v>783</v>
      </c>
      <c r="N279" s="85" t="s">
        <v>784</v>
      </c>
      <c r="O279" s="85" t="s">
        <v>803</v>
      </c>
      <c r="P279" s="85"/>
      <c r="Q279" s="85"/>
      <c r="R279" s="54"/>
      <c r="S279" s="54"/>
      <c r="T279" s="54"/>
      <c r="U279" s="93">
        <v>0.91620070099999995</v>
      </c>
      <c r="V279" s="166"/>
      <c r="W279" s="166"/>
      <c r="X279" s="66">
        <f t="shared" si="14"/>
        <v>0.91620070099999995</v>
      </c>
      <c r="Y279" s="87">
        <v>93.7</v>
      </c>
      <c r="Z279" s="192" t="str">
        <f t="shared" si="15"/>
        <v>F</v>
      </c>
      <c r="AA279" s="66"/>
      <c r="AB279" s="66"/>
      <c r="AC279" s="66"/>
      <c r="AD279" s="172"/>
      <c r="AE279" s="172"/>
      <c r="AF279" s="172"/>
      <c r="AG279" s="172"/>
      <c r="AH279" s="172"/>
      <c r="AI279" s="172"/>
      <c r="AJ279" s="172"/>
      <c r="AK279" s="172"/>
      <c r="AL279" s="172"/>
    </row>
    <row r="280" spans="1:38" s="45" customFormat="1">
      <c r="A280" s="66"/>
      <c r="B280" s="73" t="s">
        <v>766</v>
      </c>
      <c r="C280" s="54">
        <v>2013</v>
      </c>
      <c r="D280" s="66"/>
      <c r="E280" s="56" t="s">
        <v>172</v>
      </c>
      <c r="F280" s="54">
        <v>2011</v>
      </c>
      <c r="G280" s="54" t="s">
        <v>631</v>
      </c>
      <c r="H280" s="66" t="s">
        <v>159</v>
      </c>
      <c r="I280" s="66" t="s">
        <v>1014</v>
      </c>
      <c r="J280" s="74" t="s">
        <v>1013</v>
      </c>
      <c r="K280" s="54" t="s">
        <v>1091</v>
      </c>
      <c r="L280" s="54" t="s">
        <v>975</v>
      </c>
      <c r="M280" s="66"/>
      <c r="N280" s="66"/>
      <c r="O280" s="66" t="s">
        <v>976</v>
      </c>
      <c r="P280" s="66"/>
      <c r="Q280" s="66"/>
      <c r="R280" s="66"/>
      <c r="S280" s="66"/>
      <c r="T280" s="66"/>
      <c r="U280" s="54">
        <v>0.91600000000000004</v>
      </c>
      <c r="V280" s="66"/>
      <c r="W280" s="66"/>
      <c r="X280" s="66">
        <f t="shared" si="14"/>
        <v>0.91600000000000004</v>
      </c>
      <c r="Y280" s="71">
        <v>97.4</v>
      </c>
      <c r="Z280" s="192" t="str">
        <f t="shared" si="15"/>
        <v>F</v>
      </c>
      <c r="AA280" s="66"/>
      <c r="AB280" s="66"/>
      <c r="AC280" s="66"/>
      <c r="AD280" s="172"/>
      <c r="AE280" s="172"/>
      <c r="AF280" s="172"/>
      <c r="AG280" s="172"/>
      <c r="AH280" s="172"/>
      <c r="AI280" s="172"/>
      <c r="AJ280" s="172"/>
      <c r="AK280" s="172"/>
      <c r="AL280" s="172"/>
    </row>
    <row r="281" spans="1:38" s="45" customFormat="1">
      <c r="A281" s="53">
        <v>174</v>
      </c>
      <c r="B281" s="54" t="s">
        <v>697</v>
      </c>
      <c r="C281" s="54">
        <v>2009</v>
      </c>
      <c r="D281" s="78" t="s">
        <v>698</v>
      </c>
      <c r="E281" s="56" t="s">
        <v>20</v>
      </c>
      <c r="F281" s="57" t="s">
        <v>701</v>
      </c>
      <c r="G281" s="54" t="s">
        <v>705</v>
      </c>
      <c r="H281" s="54" t="s">
        <v>159</v>
      </c>
      <c r="I281" s="54"/>
      <c r="J281" s="66" t="s">
        <v>1013</v>
      </c>
      <c r="K281" s="54" t="s">
        <v>1091</v>
      </c>
      <c r="L281" s="54" t="s">
        <v>712</v>
      </c>
      <c r="M281" s="59"/>
      <c r="N281" s="59"/>
      <c r="O281" s="54" t="s">
        <v>713</v>
      </c>
      <c r="P281" s="60"/>
      <c r="Q281" s="60"/>
      <c r="R281" s="54"/>
      <c r="S281" s="54"/>
      <c r="T281" s="54"/>
      <c r="U281" s="61">
        <v>0.91500000000000004</v>
      </c>
      <c r="V281" s="61"/>
      <c r="W281" s="61"/>
      <c r="X281" s="66">
        <f t="shared" si="14"/>
        <v>0.91500000000000004</v>
      </c>
      <c r="Y281" s="71">
        <v>92</v>
      </c>
      <c r="Z281" s="192" t="str">
        <f t="shared" si="15"/>
        <v>F</v>
      </c>
      <c r="AA281" s="66"/>
      <c r="AB281" s="66"/>
      <c r="AC281" s="66"/>
      <c r="AD281" s="172"/>
      <c r="AE281" s="172"/>
      <c r="AF281" s="172"/>
      <c r="AG281" s="172"/>
      <c r="AH281" s="172"/>
      <c r="AI281" s="172"/>
      <c r="AJ281" s="172"/>
      <c r="AK281" s="172"/>
      <c r="AL281" s="172"/>
    </row>
    <row r="282" spans="1:38" s="45" customFormat="1">
      <c r="A282" s="53">
        <v>181</v>
      </c>
      <c r="B282" s="54" t="s">
        <v>766</v>
      </c>
      <c r="C282" s="54">
        <v>2009</v>
      </c>
      <c r="D282" s="90" t="s">
        <v>767</v>
      </c>
      <c r="E282" s="84" t="s">
        <v>49</v>
      </c>
      <c r="F282" s="85" t="s">
        <v>829</v>
      </c>
      <c r="G282" s="54" t="s">
        <v>786</v>
      </c>
      <c r="H282" s="74" t="s">
        <v>159</v>
      </c>
      <c r="I282" s="74"/>
      <c r="J282" s="74" t="s">
        <v>1013</v>
      </c>
      <c r="K282" s="74" t="s">
        <v>1096</v>
      </c>
      <c r="L282" s="85" t="s">
        <v>782</v>
      </c>
      <c r="M282" s="85" t="s">
        <v>164</v>
      </c>
      <c r="N282" s="85"/>
      <c r="O282" s="85" t="s">
        <v>830</v>
      </c>
      <c r="P282" s="85"/>
      <c r="Q282" s="85"/>
      <c r="R282" s="54"/>
      <c r="S282" s="54"/>
      <c r="T282" s="54"/>
      <c r="U282" s="93">
        <v>0.91426053399999996</v>
      </c>
      <c r="V282" s="166"/>
      <c r="W282" s="166"/>
      <c r="X282" s="66">
        <f t="shared" si="14"/>
        <v>0.91426053399999996</v>
      </c>
      <c r="Y282" s="87">
        <v>97.413594239999995</v>
      </c>
      <c r="Z282" s="192" t="str">
        <f t="shared" si="15"/>
        <v>F</v>
      </c>
      <c r="AA282" s="66"/>
      <c r="AB282" s="66"/>
      <c r="AC282" s="66"/>
      <c r="AD282" s="172"/>
      <c r="AE282" s="172"/>
      <c r="AF282" s="172"/>
      <c r="AG282" s="172"/>
      <c r="AH282" s="172"/>
      <c r="AI282" s="172"/>
      <c r="AJ282" s="172"/>
      <c r="AK282" s="172"/>
      <c r="AL282" s="172"/>
    </row>
    <row r="283" spans="1:38" s="45" customFormat="1">
      <c r="A283" s="53"/>
      <c r="B283" s="290" t="s">
        <v>1276</v>
      </c>
      <c r="C283" s="291">
        <v>1989</v>
      </c>
      <c r="D283" s="66"/>
      <c r="E283" s="60" t="s">
        <v>49</v>
      </c>
      <c r="F283" s="54"/>
      <c r="G283" s="54"/>
      <c r="H283" s="54"/>
      <c r="I283" s="54"/>
      <c r="J283" s="294" t="s">
        <v>1013</v>
      </c>
      <c r="K283" s="294" t="s">
        <v>1256</v>
      </c>
      <c r="L283" s="39"/>
      <c r="O283" t="s">
        <v>1258</v>
      </c>
      <c r="R283">
        <v>0.91400000000000003</v>
      </c>
      <c r="S283"/>
      <c r="U283" s="54"/>
      <c r="V283" s="54"/>
      <c r="W283" s="54"/>
      <c r="X283" s="66">
        <f t="shared" si="14"/>
        <v>0.91400000000000003</v>
      </c>
      <c r="Y283">
        <v>58</v>
      </c>
      <c r="Z283" s="192" t="str">
        <f t="shared" si="15"/>
        <v>F</v>
      </c>
      <c r="AA283" s="66"/>
      <c r="AB283" s="66"/>
      <c r="AC283" s="66"/>
      <c r="AD283" s="172"/>
      <c r="AE283" s="172"/>
      <c r="AF283" s="172"/>
      <c r="AG283" s="172"/>
      <c r="AH283" s="172"/>
      <c r="AI283" s="172"/>
      <c r="AJ283" s="172"/>
      <c r="AK283" s="172"/>
      <c r="AL283" s="172"/>
    </row>
    <row r="284" spans="1:38" s="45" customFormat="1">
      <c r="A284" s="53">
        <v>173</v>
      </c>
      <c r="B284" s="54" t="s">
        <v>585</v>
      </c>
      <c r="C284" s="54">
        <v>2011</v>
      </c>
      <c r="D284" s="78" t="s">
        <v>636</v>
      </c>
      <c r="E284" s="56" t="s">
        <v>638</v>
      </c>
      <c r="F284" s="57" t="s">
        <v>656</v>
      </c>
      <c r="G284" s="54" t="s">
        <v>657</v>
      </c>
      <c r="H284" s="54" t="s">
        <v>146</v>
      </c>
      <c r="I284" s="54"/>
      <c r="J284" s="66" t="s">
        <v>1013</v>
      </c>
      <c r="K284" s="54" t="s">
        <v>1082</v>
      </c>
      <c r="L284" s="54" t="s">
        <v>658</v>
      </c>
      <c r="M284" s="59"/>
      <c r="N284" s="59"/>
      <c r="O284" s="54" t="s">
        <v>659</v>
      </c>
      <c r="P284" s="60"/>
      <c r="Q284" s="60"/>
      <c r="R284" s="54"/>
      <c r="S284" s="54"/>
      <c r="T284" s="54"/>
      <c r="U284" s="61">
        <v>0.91300000000000003</v>
      </c>
      <c r="V284" s="61"/>
      <c r="W284" s="61"/>
      <c r="X284" s="66">
        <f t="shared" si="14"/>
        <v>0.91300000000000003</v>
      </c>
      <c r="Y284" s="71">
        <v>97</v>
      </c>
      <c r="Z284" s="192" t="str">
        <f t="shared" si="15"/>
        <v>F</v>
      </c>
      <c r="AA284" s="66"/>
      <c r="AB284" s="66"/>
      <c r="AC284" s="66"/>
      <c r="AD284" s="172"/>
      <c r="AE284" s="172"/>
      <c r="AF284" s="172"/>
      <c r="AG284" s="172"/>
      <c r="AH284" s="172"/>
      <c r="AI284" s="172"/>
      <c r="AJ284" s="172"/>
      <c r="AK284" s="172"/>
      <c r="AL284" s="172"/>
    </row>
    <row r="285" spans="1:38" s="45" customFormat="1">
      <c r="A285" s="53">
        <v>181</v>
      </c>
      <c r="B285" s="54" t="s">
        <v>766</v>
      </c>
      <c r="C285" s="54">
        <v>2009</v>
      </c>
      <c r="D285" s="90" t="s">
        <v>767</v>
      </c>
      <c r="E285" s="84" t="s">
        <v>49</v>
      </c>
      <c r="F285" s="85" t="s">
        <v>773</v>
      </c>
      <c r="G285" s="54" t="s">
        <v>777</v>
      </c>
      <c r="H285" s="74" t="s">
        <v>581</v>
      </c>
      <c r="I285" s="74"/>
      <c r="J285" s="74" t="s">
        <v>1013</v>
      </c>
      <c r="K285" s="74" t="s">
        <v>1096</v>
      </c>
      <c r="L285" s="85" t="s">
        <v>775</v>
      </c>
      <c r="M285" s="85" t="s">
        <v>164</v>
      </c>
      <c r="N285" s="85"/>
      <c r="O285" s="85" t="s">
        <v>778</v>
      </c>
      <c r="P285" s="85"/>
      <c r="Q285" s="85"/>
      <c r="R285" s="54"/>
      <c r="S285" s="54"/>
      <c r="T285" s="54"/>
      <c r="U285" s="93">
        <v>0.91048192400000005</v>
      </c>
      <c r="V285" s="166"/>
      <c r="W285" s="166"/>
      <c r="X285" s="66">
        <f t="shared" si="14"/>
        <v>0.91048192400000005</v>
      </c>
      <c r="Y285" s="87">
        <v>100.57266989999999</v>
      </c>
      <c r="Z285" s="192" t="str">
        <f t="shared" si="15"/>
        <v>F</v>
      </c>
      <c r="AA285" s="66"/>
      <c r="AB285" s="66"/>
      <c r="AC285" s="66"/>
      <c r="AD285" s="172"/>
      <c r="AE285" s="172"/>
      <c r="AF285" s="172"/>
      <c r="AG285" s="172"/>
      <c r="AH285" s="172"/>
      <c r="AI285" s="172"/>
      <c r="AJ285" s="172"/>
      <c r="AK285" s="172"/>
      <c r="AL285" s="172"/>
    </row>
    <row r="286" spans="1:38" s="45" customFormat="1">
      <c r="A286" s="53">
        <v>203</v>
      </c>
      <c r="B286" s="73" t="s">
        <v>940</v>
      </c>
      <c r="C286" s="54">
        <v>2011</v>
      </c>
      <c r="D286" s="73" t="s">
        <v>941</v>
      </c>
      <c r="E286" s="56" t="s">
        <v>20</v>
      </c>
      <c r="F286" s="54">
        <v>2009</v>
      </c>
      <c r="G286" s="54" t="s">
        <v>326</v>
      </c>
      <c r="H286" s="54"/>
      <c r="I286" s="54"/>
      <c r="J286" s="66" t="s">
        <v>1013</v>
      </c>
      <c r="K286" s="54" t="s">
        <v>1096</v>
      </c>
      <c r="L286" s="54" t="s">
        <v>715</v>
      </c>
      <c r="M286" s="54"/>
      <c r="N286" s="54"/>
      <c r="O286" s="54">
        <v>57</v>
      </c>
      <c r="P286" s="54"/>
      <c r="Q286" s="54"/>
      <c r="R286" s="54"/>
      <c r="S286" s="54"/>
      <c r="T286" s="54"/>
      <c r="U286" s="54">
        <v>0.91</v>
      </c>
      <c r="V286" s="54"/>
      <c r="W286" s="54"/>
      <c r="X286" s="66">
        <f t="shared" si="14"/>
        <v>0.91</v>
      </c>
      <c r="Y286" s="71">
        <v>96.9</v>
      </c>
      <c r="Z286" s="192" t="str">
        <f t="shared" si="15"/>
        <v>F</v>
      </c>
      <c r="AA286" s="66"/>
      <c r="AB286" s="66"/>
      <c r="AC286" s="66"/>
      <c r="AD286" s="172"/>
      <c r="AE286" s="172"/>
      <c r="AF286" s="172"/>
      <c r="AG286" s="172"/>
      <c r="AH286" s="172"/>
      <c r="AI286" s="172"/>
      <c r="AJ286" s="172"/>
      <c r="AK286" s="172"/>
      <c r="AL286" s="172"/>
    </row>
    <row r="287" spans="1:38" s="45" customFormat="1">
      <c r="A287" s="53">
        <v>35</v>
      </c>
      <c r="B287" s="60" t="s">
        <v>45</v>
      </c>
      <c r="C287" s="60">
        <v>1982</v>
      </c>
      <c r="D287" s="60" t="s">
        <v>46</v>
      </c>
      <c r="E287" s="56" t="s">
        <v>49</v>
      </c>
      <c r="F287" s="54" t="s">
        <v>50</v>
      </c>
      <c r="G287" s="54" t="s">
        <v>51</v>
      </c>
      <c r="H287" s="54" t="s">
        <v>23</v>
      </c>
      <c r="I287" s="54"/>
      <c r="J287" s="54" t="s">
        <v>1013</v>
      </c>
      <c r="K287" s="54" t="s">
        <v>1134</v>
      </c>
      <c r="L287" s="54" t="s">
        <v>52</v>
      </c>
      <c r="M287" s="54"/>
      <c r="N287" s="54"/>
      <c r="O287" s="54" t="s">
        <v>69</v>
      </c>
      <c r="P287" s="54">
        <v>0.91</v>
      </c>
      <c r="Q287" s="54"/>
      <c r="R287" s="54">
        <f>+P287</f>
        <v>0.91</v>
      </c>
      <c r="S287" s="54"/>
      <c r="T287" s="54"/>
      <c r="U287" s="54"/>
      <c r="V287" s="54">
        <v>67</v>
      </c>
      <c r="W287" s="54"/>
      <c r="X287" s="66">
        <f t="shared" si="14"/>
        <v>0.91</v>
      </c>
      <c r="Y287" s="71">
        <f>+V287</f>
        <v>67</v>
      </c>
      <c r="Z287" s="192" t="str">
        <f t="shared" si="15"/>
        <v>F</v>
      </c>
      <c r="AA287" s="66"/>
      <c r="AB287" s="66"/>
      <c r="AC287" s="66"/>
      <c r="AD287" s="172"/>
      <c r="AE287" s="172"/>
      <c r="AF287" s="172"/>
      <c r="AG287" s="172"/>
      <c r="AH287" s="172"/>
      <c r="AI287" s="172"/>
      <c r="AJ287" s="172"/>
      <c r="AK287" s="172"/>
      <c r="AL287" s="172"/>
    </row>
    <row r="288" spans="1:38" s="45" customFormat="1">
      <c r="A288" s="53">
        <v>181</v>
      </c>
      <c r="B288" s="54" t="s">
        <v>766</v>
      </c>
      <c r="C288" s="54">
        <v>2009</v>
      </c>
      <c r="D288" s="90" t="s">
        <v>767</v>
      </c>
      <c r="E288" s="90" t="s">
        <v>49</v>
      </c>
      <c r="F288" s="79" t="s">
        <v>780</v>
      </c>
      <c r="G288" s="54" t="s">
        <v>786</v>
      </c>
      <c r="H288" s="78" t="s">
        <v>159</v>
      </c>
      <c r="I288" s="78"/>
      <c r="J288" s="74" t="s">
        <v>1013</v>
      </c>
      <c r="K288" s="74" t="s">
        <v>1096</v>
      </c>
      <c r="L288" s="79" t="s">
        <v>782</v>
      </c>
      <c r="M288" s="79" t="s">
        <v>164</v>
      </c>
      <c r="N288" s="79"/>
      <c r="O288" s="79" t="s">
        <v>787</v>
      </c>
      <c r="P288" s="79"/>
      <c r="Q288" s="79"/>
      <c r="R288" s="54"/>
      <c r="S288" s="54"/>
      <c r="T288" s="54"/>
      <c r="U288" s="94">
        <v>0.90993638700000001</v>
      </c>
      <c r="V288" s="165"/>
      <c r="W288" s="165"/>
      <c r="X288" s="66">
        <f t="shared" si="14"/>
        <v>0.90993638700000001</v>
      </c>
      <c r="Y288" s="82">
        <v>101.3779491</v>
      </c>
      <c r="Z288" s="192" t="str">
        <f t="shared" si="15"/>
        <v>F</v>
      </c>
      <c r="AA288" s="66"/>
      <c r="AB288" s="66"/>
      <c r="AC288" s="66"/>
      <c r="AD288" s="172"/>
      <c r="AE288" s="172"/>
      <c r="AF288" s="172"/>
      <c r="AG288" s="172"/>
      <c r="AH288" s="172"/>
      <c r="AI288" s="172"/>
      <c r="AJ288" s="172"/>
      <c r="AK288" s="172"/>
      <c r="AL288" s="172"/>
    </row>
    <row r="289" spans="1:38" s="45" customFormat="1">
      <c r="A289" s="53">
        <v>174</v>
      </c>
      <c r="B289" s="54" t="s">
        <v>697</v>
      </c>
      <c r="C289" s="54">
        <v>2009</v>
      </c>
      <c r="D289" s="78" t="s">
        <v>698</v>
      </c>
      <c r="E289" s="56" t="s">
        <v>20</v>
      </c>
      <c r="F289" s="57" t="s">
        <v>701</v>
      </c>
      <c r="G289" s="54" t="s">
        <v>705</v>
      </c>
      <c r="H289" s="54" t="s">
        <v>159</v>
      </c>
      <c r="I289" s="54"/>
      <c r="J289" s="66" t="s">
        <v>1013</v>
      </c>
      <c r="K289" s="54" t="s">
        <v>1087</v>
      </c>
      <c r="L289" s="54" t="s">
        <v>464</v>
      </c>
      <c r="M289" s="59"/>
      <c r="N289" s="59"/>
      <c r="O289" s="54" t="s">
        <v>464</v>
      </c>
      <c r="P289" s="60"/>
      <c r="Q289" s="60"/>
      <c r="R289" s="54"/>
      <c r="S289" s="54"/>
      <c r="T289" s="54"/>
      <c r="U289" s="61">
        <v>0.90600000000000003</v>
      </c>
      <c r="V289" s="61"/>
      <c r="W289" s="61"/>
      <c r="X289" s="66">
        <f t="shared" si="14"/>
        <v>0.90600000000000003</v>
      </c>
      <c r="Y289" s="71">
        <v>106.8</v>
      </c>
      <c r="Z289" s="192" t="str">
        <f t="shared" si="15"/>
        <v>F</v>
      </c>
      <c r="AA289" s="66"/>
      <c r="AB289" s="66"/>
      <c r="AC289" s="66"/>
      <c r="AD289" s="172"/>
      <c r="AE289" s="172"/>
      <c r="AF289" s="172"/>
      <c r="AG289" s="172"/>
      <c r="AH289" s="172"/>
      <c r="AI289" s="172"/>
      <c r="AJ289" s="172"/>
      <c r="AK289" s="172"/>
      <c r="AL289" s="172"/>
    </row>
    <row r="290" spans="1:38" s="45" customFormat="1">
      <c r="A290" s="53">
        <v>181</v>
      </c>
      <c r="B290" s="54" t="s">
        <v>766</v>
      </c>
      <c r="C290" s="54">
        <v>2009</v>
      </c>
      <c r="D290" s="90" t="s">
        <v>767</v>
      </c>
      <c r="E290" s="90" t="s">
        <v>49</v>
      </c>
      <c r="F290" s="79" t="s">
        <v>780</v>
      </c>
      <c r="G290" s="54" t="s">
        <v>781</v>
      </c>
      <c r="H290" s="78" t="s">
        <v>95</v>
      </c>
      <c r="I290" s="78"/>
      <c r="J290" s="78" t="s">
        <v>1013</v>
      </c>
      <c r="K290" s="78" t="s">
        <v>1096</v>
      </c>
      <c r="L290" s="79" t="s">
        <v>782</v>
      </c>
      <c r="M290" s="79" t="s">
        <v>783</v>
      </c>
      <c r="N290" s="79" t="s">
        <v>784</v>
      </c>
      <c r="O290" s="79" t="s">
        <v>785</v>
      </c>
      <c r="P290" s="79"/>
      <c r="Q290" s="79"/>
      <c r="R290" s="54"/>
      <c r="S290" s="54"/>
      <c r="T290" s="54"/>
      <c r="U290" s="94">
        <v>0.90572357999999997</v>
      </c>
      <c r="V290" s="165"/>
      <c r="W290" s="165"/>
      <c r="X290" s="66">
        <f t="shared" si="14"/>
        <v>0.90572357999999997</v>
      </c>
      <c r="Y290" s="82">
        <v>106.0421372</v>
      </c>
      <c r="Z290" s="192" t="str">
        <f t="shared" si="15"/>
        <v>F</v>
      </c>
      <c r="AA290" s="66"/>
      <c r="AB290" s="66"/>
      <c r="AC290" s="66"/>
      <c r="AD290" s="172"/>
      <c r="AE290" s="172"/>
      <c r="AF290" s="172"/>
      <c r="AG290" s="172"/>
      <c r="AH290" s="172"/>
      <c r="AI290" s="172"/>
      <c r="AJ290" s="172"/>
      <c r="AK290" s="172"/>
      <c r="AL290" s="172"/>
    </row>
    <row r="291" spans="1:38" s="45" customFormat="1">
      <c r="A291" s="66"/>
      <c r="B291" s="73" t="s">
        <v>766</v>
      </c>
      <c r="C291" s="54">
        <v>2013</v>
      </c>
      <c r="D291" s="66"/>
      <c r="E291" s="56" t="s">
        <v>172</v>
      </c>
      <c r="F291" s="54">
        <v>2011</v>
      </c>
      <c r="G291" s="54" t="s">
        <v>631</v>
      </c>
      <c r="H291" s="66" t="s">
        <v>159</v>
      </c>
      <c r="I291" s="66" t="s">
        <v>1014</v>
      </c>
      <c r="J291" s="74" t="s">
        <v>1013</v>
      </c>
      <c r="K291" s="54" t="s">
        <v>1091</v>
      </c>
      <c r="L291" s="54" t="s">
        <v>975</v>
      </c>
      <c r="M291" s="66"/>
      <c r="N291" s="66"/>
      <c r="O291" s="66" t="s">
        <v>976</v>
      </c>
      <c r="P291" s="66"/>
      <c r="Q291" s="66"/>
      <c r="R291" s="66"/>
      <c r="S291" s="66"/>
      <c r="T291" s="66"/>
      <c r="U291" s="54">
        <v>0.90400000000000003</v>
      </c>
      <c r="V291" s="66"/>
      <c r="W291" s="66"/>
      <c r="X291" s="66">
        <f t="shared" si="14"/>
        <v>0.90400000000000003</v>
      </c>
      <c r="Y291" s="71">
        <v>110.9</v>
      </c>
      <c r="Z291" s="192" t="str">
        <f t="shared" si="15"/>
        <v>F</v>
      </c>
      <c r="AA291" s="66"/>
      <c r="AB291" s="66"/>
      <c r="AC291" s="66"/>
      <c r="AD291" s="172"/>
      <c r="AE291" s="172"/>
      <c r="AF291" s="172"/>
      <c r="AG291" s="172"/>
      <c r="AH291" s="172"/>
      <c r="AI291" s="172"/>
      <c r="AJ291" s="172"/>
      <c r="AK291" s="172"/>
      <c r="AL291" s="172"/>
    </row>
    <row r="292" spans="1:38" s="45" customFormat="1">
      <c r="A292" s="53">
        <v>181</v>
      </c>
      <c r="B292" s="54" t="s">
        <v>766</v>
      </c>
      <c r="C292" s="54">
        <v>2009</v>
      </c>
      <c r="D292" s="90" t="s">
        <v>767</v>
      </c>
      <c r="E292" s="84" t="s">
        <v>49</v>
      </c>
      <c r="F292" s="85" t="s">
        <v>780</v>
      </c>
      <c r="G292" s="54" t="s">
        <v>786</v>
      </c>
      <c r="H292" s="74" t="s">
        <v>159</v>
      </c>
      <c r="I292" s="74"/>
      <c r="J292" s="74" t="s">
        <v>1013</v>
      </c>
      <c r="K292" s="74" t="s">
        <v>1096</v>
      </c>
      <c r="L292" s="85" t="s">
        <v>782</v>
      </c>
      <c r="M292" s="85" t="s">
        <v>164</v>
      </c>
      <c r="N292" s="85"/>
      <c r="O292" s="85" t="s">
        <v>813</v>
      </c>
      <c r="P292" s="85"/>
      <c r="Q292" s="85"/>
      <c r="R292" s="54"/>
      <c r="S292" s="54"/>
      <c r="T292" s="54"/>
      <c r="U292" s="93">
        <v>0.90398989900000004</v>
      </c>
      <c r="V292" s="166"/>
      <c r="W292" s="166"/>
      <c r="X292" s="66">
        <f t="shared" si="14"/>
        <v>0.90398989900000004</v>
      </c>
      <c r="Y292" s="87">
        <v>107.0830895</v>
      </c>
      <c r="Z292" s="192" t="str">
        <f t="shared" si="15"/>
        <v>F</v>
      </c>
      <c r="AA292" s="66"/>
      <c r="AB292" s="66"/>
      <c r="AC292" s="66"/>
      <c r="AD292" s="172"/>
      <c r="AE292" s="172"/>
      <c r="AF292" s="172"/>
      <c r="AG292" s="172"/>
      <c r="AH292" s="172"/>
      <c r="AI292" s="172"/>
      <c r="AJ292" s="172"/>
      <c r="AK292" s="172"/>
      <c r="AL292" s="172"/>
    </row>
    <row r="293" spans="1:38" s="45" customFormat="1">
      <c r="A293" s="66"/>
      <c r="B293" s="73" t="s">
        <v>766</v>
      </c>
      <c r="C293" s="54">
        <v>2013</v>
      </c>
      <c r="D293" s="66"/>
      <c r="E293" s="56" t="s">
        <v>172</v>
      </c>
      <c r="F293" s="54">
        <v>2011</v>
      </c>
      <c r="G293" s="54" t="s">
        <v>631</v>
      </c>
      <c r="H293" s="66" t="s">
        <v>159</v>
      </c>
      <c r="I293" s="66" t="s">
        <v>1014</v>
      </c>
      <c r="J293" s="74" t="s">
        <v>1013</v>
      </c>
      <c r="K293" s="54" t="s">
        <v>1091</v>
      </c>
      <c r="L293" s="54" t="s">
        <v>975</v>
      </c>
      <c r="M293" s="66"/>
      <c r="N293" s="66"/>
      <c r="O293" s="66" t="s">
        <v>976</v>
      </c>
      <c r="P293" s="66"/>
      <c r="Q293" s="66"/>
      <c r="R293" s="66"/>
      <c r="S293" s="66"/>
      <c r="T293" s="66"/>
      <c r="U293" s="54">
        <v>0.90300000000000002</v>
      </c>
      <c r="V293" s="66"/>
      <c r="W293" s="66"/>
      <c r="X293" s="66">
        <f t="shared" si="14"/>
        <v>0.90300000000000002</v>
      </c>
      <c r="Y293" s="71">
        <v>112.8</v>
      </c>
      <c r="Z293" s="192" t="str">
        <f t="shared" si="15"/>
        <v>F</v>
      </c>
      <c r="AA293" s="66"/>
      <c r="AB293" s="66"/>
      <c r="AC293" s="66"/>
      <c r="AD293" s="172"/>
      <c r="AE293" s="172"/>
      <c r="AF293" s="172"/>
      <c r="AG293" s="172"/>
      <c r="AH293" s="172"/>
      <c r="AI293" s="172"/>
      <c r="AJ293" s="172"/>
      <c r="AK293" s="172"/>
      <c r="AL293" s="172"/>
    </row>
    <row r="294" spans="1:38" s="45" customFormat="1">
      <c r="A294" s="66"/>
      <c r="B294" s="73" t="s">
        <v>766</v>
      </c>
      <c r="C294" s="54">
        <v>2013</v>
      </c>
      <c r="D294" s="66"/>
      <c r="E294" s="56" t="s">
        <v>172</v>
      </c>
      <c r="F294" s="54">
        <v>2011</v>
      </c>
      <c r="G294" s="54" t="s">
        <v>631</v>
      </c>
      <c r="H294" s="66" t="s">
        <v>159</v>
      </c>
      <c r="I294" s="66" t="s">
        <v>1014</v>
      </c>
      <c r="J294" s="74" t="s">
        <v>1013</v>
      </c>
      <c r="K294" s="54" t="s">
        <v>1091</v>
      </c>
      <c r="L294" s="54" t="s">
        <v>974</v>
      </c>
      <c r="M294" s="66"/>
      <c r="N294" s="66"/>
      <c r="O294" s="66" t="s">
        <v>972</v>
      </c>
      <c r="P294" s="66"/>
      <c r="Q294" s="66"/>
      <c r="R294" s="66"/>
      <c r="S294" s="66"/>
      <c r="T294" s="66"/>
      <c r="U294" s="54">
        <v>0.90300000000000002</v>
      </c>
      <c r="V294" s="66"/>
      <c r="W294" s="66"/>
      <c r="X294" s="66">
        <f t="shared" si="14"/>
        <v>0.90300000000000002</v>
      </c>
      <c r="Y294" s="71">
        <v>112.6</v>
      </c>
      <c r="Z294" s="192" t="str">
        <f t="shared" si="15"/>
        <v>F</v>
      </c>
      <c r="AA294" s="66"/>
      <c r="AB294" s="66"/>
      <c r="AC294" s="66"/>
      <c r="AD294" s="172"/>
      <c r="AE294" s="172"/>
      <c r="AF294" s="172"/>
      <c r="AG294" s="172"/>
      <c r="AH294" s="172"/>
      <c r="AI294" s="172"/>
      <c r="AJ294" s="172"/>
      <c r="AK294" s="172"/>
      <c r="AL294" s="172"/>
    </row>
    <row r="295" spans="1:38" s="49" customFormat="1">
      <c r="A295" s="66"/>
      <c r="B295" s="73" t="s">
        <v>766</v>
      </c>
      <c r="C295" s="54">
        <v>2013</v>
      </c>
      <c r="D295" s="66"/>
      <c r="E295" s="56" t="s">
        <v>172</v>
      </c>
      <c r="F295" s="54">
        <v>2011</v>
      </c>
      <c r="G295" s="54" t="s">
        <v>631</v>
      </c>
      <c r="H295" s="66" t="s">
        <v>159</v>
      </c>
      <c r="I295" s="66" t="s">
        <v>1014</v>
      </c>
      <c r="J295" s="74" t="s">
        <v>1013</v>
      </c>
      <c r="K295" s="54" t="s">
        <v>1091</v>
      </c>
      <c r="L295" s="54" t="s">
        <v>978</v>
      </c>
      <c r="M295" s="66"/>
      <c r="N295" s="66"/>
      <c r="O295" s="66" t="s">
        <v>977</v>
      </c>
      <c r="P295" s="66"/>
      <c r="Q295" s="66"/>
      <c r="R295" s="66"/>
      <c r="S295" s="66"/>
      <c r="T295" s="66"/>
      <c r="U295" s="54">
        <v>0.90200000000000002</v>
      </c>
      <c r="V295" s="66"/>
      <c r="W295" s="66"/>
      <c r="X295" s="66">
        <f t="shared" si="14"/>
        <v>0.90200000000000002</v>
      </c>
      <c r="Y295" s="71">
        <v>113.7</v>
      </c>
      <c r="Z295" s="192" t="str">
        <f t="shared" si="15"/>
        <v>F</v>
      </c>
      <c r="AA295" s="66"/>
      <c r="AB295" s="66"/>
      <c r="AC295" s="66"/>
      <c r="AD295" s="172"/>
      <c r="AE295" s="172"/>
      <c r="AF295" s="172"/>
      <c r="AG295" s="172"/>
      <c r="AH295" s="172"/>
      <c r="AI295" s="172"/>
      <c r="AJ295" s="172"/>
      <c r="AK295" s="172"/>
      <c r="AL295" s="172"/>
    </row>
    <row r="296" spans="1:38" s="49" customFormat="1">
      <c r="A296" s="66"/>
      <c r="B296" s="73" t="s">
        <v>766</v>
      </c>
      <c r="C296" s="54">
        <v>2013</v>
      </c>
      <c r="D296" s="66"/>
      <c r="E296" s="56" t="s">
        <v>172</v>
      </c>
      <c r="F296" s="54">
        <v>2011</v>
      </c>
      <c r="G296" s="54" t="s">
        <v>631</v>
      </c>
      <c r="H296" s="66" t="s">
        <v>159</v>
      </c>
      <c r="I296" s="66" t="s">
        <v>1014</v>
      </c>
      <c r="J296" s="74" t="s">
        <v>1013</v>
      </c>
      <c r="K296" s="54" t="s">
        <v>1091</v>
      </c>
      <c r="L296" s="54" t="s">
        <v>975</v>
      </c>
      <c r="M296" s="66"/>
      <c r="N296" s="66"/>
      <c r="O296" s="66" t="s">
        <v>976</v>
      </c>
      <c r="P296" s="66"/>
      <c r="Q296" s="66"/>
      <c r="R296" s="66"/>
      <c r="S296" s="66"/>
      <c r="T296" s="66"/>
      <c r="U296" s="54">
        <v>0.90200000000000002</v>
      </c>
      <c r="V296" s="66"/>
      <c r="W296" s="66"/>
      <c r="X296" s="66">
        <f t="shared" si="14"/>
        <v>0.90200000000000002</v>
      </c>
      <c r="Y296" s="71">
        <v>113.6</v>
      </c>
      <c r="Z296" s="192" t="str">
        <f t="shared" si="15"/>
        <v>F</v>
      </c>
      <c r="AA296" s="66"/>
      <c r="AB296" s="66"/>
      <c r="AC296" s="66"/>
      <c r="AD296" s="172"/>
      <c r="AE296" s="172"/>
      <c r="AF296" s="172"/>
      <c r="AG296" s="172"/>
      <c r="AH296" s="172"/>
      <c r="AI296" s="172"/>
      <c r="AJ296" s="172"/>
      <c r="AK296" s="172"/>
      <c r="AL296" s="172"/>
    </row>
    <row r="297" spans="1:38" s="49" customFormat="1">
      <c r="A297" s="66"/>
      <c r="B297" s="73" t="s">
        <v>766</v>
      </c>
      <c r="C297" s="54">
        <v>2013</v>
      </c>
      <c r="D297" s="66"/>
      <c r="E297" s="56" t="s">
        <v>172</v>
      </c>
      <c r="F297" s="54">
        <v>2011</v>
      </c>
      <c r="G297" s="54" t="s">
        <v>631</v>
      </c>
      <c r="H297" s="66" t="s">
        <v>159</v>
      </c>
      <c r="I297" s="66" t="s">
        <v>1014</v>
      </c>
      <c r="J297" s="74" t="s">
        <v>1013</v>
      </c>
      <c r="K297" s="54" t="s">
        <v>1091</v>
      </c>
      <c r="L297" s="54" t="s">
        <v>974</v>
      </c>
      <c r="M297" s="66"/>
      <c r="N297" s="66"/>
      <c r="O297" s="66" t="s">
        <v>972</v>
      </c>
      <c r="P297" s="66"/>
      <c r="Q297" s="66"/>
      <c r="R297" s="66"/>
      <c r="S297" s="66"/>
      <c r="T297" s="66"/>
      <c r="U297" s="54">
        <v>0.90100000000000002</v>
      </c>
      <c r="V297" s="66"/>
      <c r="W297" s="66"/>
      <c r="X297" s="66">
        <f t="shared" si="14"/>
        <v>0.90100000000000002</v>
      </c>
      <c r="Y297" s="71">
        <v>114.9</v>
      </c>
      <c r="Z297" s="192" t="str">
        <f t="shared" si="15"/>
        <v>F</v>
      </c>
      <c r="AA297" s="66"/>
      <c r="AB297" s="66"/>
      <c r="AC297" s="66"/>
      <c r="AD297" s="172"/>
      <c r="AE297" s="172"/>
      <c r="AF297" s="172"/>
      <c r="AG297" s="172"/>
      <c r="AH297" s="172"/>
      <c r="AI297" s="172"/>
      <c r="AJ297" s="172"/>
      <c r="AK297" s="172"/>
      <c r="AL297" s="172"/>
    </row>
    <row r="298" spans="1:38" s="49" customFormat="1">
      <c r="A298" s="66"/>
      <c r="B298" s="73" t="s">
        <v>766</v>
      </c>
      <c r="C298" s="54">
        <v>2013</v>
      </c>
      <c r="D298" s="66"/>
      <c r="E298" s="56" t="s">
        <v>172</v>
      </c>
      <c r="F298" s="54">
        <v>2011</v>
      </c>
      <c r="G298" s="54" t="s">
        <v>631</v>
      </c>
      <c r="H298" s="66" t="s">
        <v>159</v>
      </c>
      <c r="I298" s="66" t="s">
        <v>1014</v>
      </c>
      <c r="J298" s="74" t="s">
        <v>1013</v>
      </c>
      <c r="K298" s="54" t="s">
        <v>1091</v>
      </c>
      <c r="L298" s="54" t="s">
        <v>975</v>
      </c>
      <c r="M298" s="66"/>
      <c r="N298" s="66"/>
      <c r="O298" s="66" t="s">
        <v>976</v>
      </c>
      <c r="P298" s="66"/>
      <c r="Q298" s="66"/>
      <c r="R298" s="66"/>
      <c r="S298" s="66"/>
      <c r="T298" s="66"/>
      <c r="U298" s="54">
        <v>0.90100000000000002</v>
      </c>
      <c r="V298" s="66"/>
      <c r="W298" s="66"/>
      <c r="X298" s="66">
        <f t="shared" si="14"/>
        <v>0.90100000000000002</v>
      </c>
      <c r="Y298" s="71">
        <v>114.5</v>
      </c>
      <c r="Z298" s="192" t="str">
        <f t="shared" si="15"/>
        <v>F</v>
      </c>
      <c r="AA298" s="66"/>
      <c r="AB298" s="66"/>
      <c r="AC298" s="66"/>
      <c r="AD298" s="172"/>
      <c r="AE298" s="172"/>
      <c r="AF298" s="172"/>
      <c r="AG298" s="172"/>
      <c r="AH298" s="172"/>
      <c r="AI298" s="172"/>
      <c r="AJ298" s="172"/>
      <c r="AK298" s="172"/>
      <c r="AL298" s="172"/>
    </row>
    <row r="299" spans="1:38" s="49" customFormat="1">
      <c r="A299" s="66"/>
      <c r="B299" s="73" t="s">
        <v>766</v>
      </c>
      <c r="C299" s="54">
        <v>2013</v>
      </c>
      <c r="D299" s="66"/>
      <c r="E299" s="56" t="s">
        <v>172</v>
      </c>
      <c r="F299" s="54">
        <v>2011</v>
      </c>
      <c r="G299" s="54" t="s">
        <v>631</v>
      </c>
      <c r="H299" s="66" t="s">
        <v>159</v>
      </c>
      <c r="I299" s="66" t="s">
        <v>1014</v>
      </c>
      <c r="J299" s="74" t="s">
        <v>1013</v>
      </c>
      <c r="K299" s="54" t="s">
        <v>1091</v>
      </c>
      <c r="L299" s="54" t="s">
        <v>974</v>
      </c>
      <c r="M299" s="66"/>
      <c r="N299" s="66"/>
      <c r="O299" s="66" t="s">
        <v>972</v>
      </c>
      <c r="P299" s="66"/>
      <c r="Q299" s="66"/>
      <c r="R299" s="66"/>
      <c r="S299" s="66"/>
      <c r="T299" s="66"/>
      <c r="U299" s="54">
        <v>0.90100000000000002</v>
      </c>
      <c r="V299" s="66"/>
      <c r="W299" s="66"/>
      <c r="X299" s="66">
        <f t="shared" si="14"/>
        <v>0.90100000000000002</v>
      </c>
      <c r="Y299" s="71">
        <v>114.4</v>
      </c>
      <c r="Z299" s="192" t="str">
        <f t="shared" si="15"/>
        <v>F</v>
      </c>
      <c r="AA299" s="66"/>
      <c r="AB299" s="66"/>
      <c r="AC299" s="66"/>
      <c r="AD299" s="172"/>
      <c r="AE299" s="172"/>
      <c r="AF299" s="172"/>
      <c r="AG299" s="172"/>
      <c r="AH299" s="172"/>
      <c r="AI299" s="172"/>
      <c r="AJ299" s="172"/>
      <c r="AK299" s="172"/>
      <c r="AL299" s="172"/>
    </row>
    <row r="300" spans="1:38" s="49" customFormat="1">
      <c r="A300" s="66"/>
      <c r="B300" s="73" t="s">
        <v>766</v>
      </c>
      <c r="C300" s="54">
        <v>2013</v>
      </c>
      <c r="D300" s="66"/>
      <c r="E300" s="56" t="s">
        <v>172</v>
      </c>
      <c r="F300" s="54">
        <v>2011</v>
      </c>
      <c r="G300" s="54" t="s">
        <v>631</v>
      </c>
      <c r="H300" s="66" t="s">
        <v>159</v>
      </c>
      <c r="I300" s="66" t="s">
        <v>1014</v>
      </c>
      <c r="J300" s="74" t="s">
        <v>1013</v>
      </c>
      <c r="K300" s="54" t="s">
        <v>1091</v>
      </c>
      <c r="L300" s="54" t="s">
        <v>974</v>
      </c>
      <c r="M300" s="66"/>
      <c r="N300" s="66"/>
      <c r="O300" s="66" t="s">
        <v>972</v>
      </c>
      <c r="P300" s="66"/>
      <c r="Q300" s="66"/>
      <c r="R300" s="66"/>
      <c r="S300" s="66"/>
      <c r="T300" s="66"/>
      <c r="U300" s="54">
        <v>0.9</v>
      </c>
      <c r="V300" s="66"/>
      <c r="W300" s="66"/>
      <c r="X300" s="66">
        <f t="shared" si="14"/>
        <v>0.9</v>
      </c>
      <c r="Y300" s="71">
        <v>115.3</v>
      </c>
      <c r="Z300" s="192" t="str">
        <f t="shared" ref="Z300:Z331" si="16">IF(X300&lt;&gt;"",IF(X300&lt;0.9,"S","F"),"")</f>
        <v>F</v>
      </c>
      <c r="AA300" s="66"/>
      <c r="AB300" s="66"/>
      <c r="AC300" s="66"/>
      <c r="AD300" s="172"/>
      <c r="AE300" s="172"/>
      <c r="AF300" s="172"/>
      <c r="AG300" s="172"/>
      <c r="AH300" s="172"/>
      <c r="AI300" s="172"/>
      <c r="AJ300" s="172"/>
      <c r="AK300" s="172"/>
      <c r="AL300" s="172"/>
    </row>
    <row r="301" spans="1:38" s="49" customFormat="1">
      <c r="A301" s="53">
        <v>203</v>
      </c>
      <c r="B301" s="73" t="s">
        <v>940</v>
      </c>
      <c r="C301" s="54">
        <v>2011</v>
      </c>
      <c r="D301" s="73" t="s">
        <v>941</v>
      </c>
      <c r="E301" s="56" t="s">
        <v>20</v>
      </c>
      <c r="F301" s="54">
        <v>2009</v>
      </c>
      <c r="G301" s="54" t="s">
        <v>326</v>
      </c>
      <c r="H301" s="54"/>
      <c r="I301" s="54"/>
      <c r="J301" s="66" t="s">
        <v>1013</v>
      </c>
      <c r="K301" s="54" t="s">
        <v>1091</v>
      </c>
      <c r="L301" s="54" t="s">
        <v>725</v>
      </c>
      <c r="M301" s="54"/>
      <c r="N301" s="54"/>
      <c r="O301" s="54">
        <v>37</v>
      </c>
      <c r="P301" s="54"/>
      <c r="Q301" s="54"/>
      <c r="R301" s="54"/>
      <c r="S301" s="54"/>
      <c r="T301" s="54"/>
      <c r="U301" s="54">
        <v>0.9</v>
      </c>
      <c r="V301" s="54"/>
      <c r="W301" s="54"/>
      <c r="X301" s="66">
        <f t="shared" si="14"/>
        <v>0.9</v>
      </c>
      <c r="Y301" s="71">
        <v>113</v>
      </c>
      <c r="Z301" s="192" t="str">
        <f t="shared" si="16"/>
        <v>F</v>
      </c>
      <c r="AA301" s="66"/>
      <c r="AB301" s="66"/>
      <c r="AC301" s="66"/>
      <c r="AD301" s="172"/>
      <c r="AE301" s="172"/>
      <c r="AF301" s="172"/>
      <c r="AG301" s="172"/>
      <c r="AH301" s="172"/>
      <c r="AI301" s="172"/>
      <c r="AJ301" s="172"/>
      <c r="AK301" s="172"/>
      <c r="AL301" s="172"/>
    </row>
    <row r="302" spans="1:38" s="49" customFormat="1">
      <c r="A302" s="66"/>
      <c r="B302" s="67" t="s">
        <v>968</v>
      </c>
      <c r="C302" s="171">
        <v>1996</v>
      </c>
      <c r="D302" s="66"/>
      <c r="E302" s="73" t="s">
        <v>172</v>
      </c>
      <c r="F302" s="66"/>
      <c r="G302" s="66"/>
      <c r="H302" s="67" t="s">
        <v>95</v>
      </c>
      <c r="I302" s="67"/>
      <c r="J302" s="66" t="s">
        <v>1013</v>
      </c>
      <c r="K302" s="67" t="s">
        <v>1002</v>
      </c>
      <c r="L302" s="67" t="s">
        <v>1002</v>
      </c>
      <c r="M302" s="67" t="s">
        <v>1003</v>
      </c>
      <c r="N302" s="67"/>
      <c r="O302" s="67" t="s">
        <v>1004</v>
      </c>
      <c r="P302" s="66"/>
      <c r="Q302" s="66"/>
      <c r="R302" s="66"/>
      <c r="S302" s="66"/>
      <c r="T302" s="66"/>
      <c r="U302" s="66">
        <v>0.9</v>
      </c>
      <c r="V302" s="66">
        <f>88*28/12/2</f>
        <v>102.66666666666667</v>
      </c>
      <c r="W302" s="66"/>
      <c r="X302" s="66">
        <f t="shared" si="14"/>
        <v>0.9</v>
      </c>
      <c r="Y302" s="206">
        <f>88*28/12/2</f>
        <v>102.66666666666667</v>
      </c>
      <c r="Z302" s="192" t="str">
        <f t="shared" si="16"/>
        <v>F</v>
      </c>
      <c r="AA302" s="66"/>
      <c r="AB302" s="66"/>
      <c r="AC302" s="66"/>
      <c r="AD302" s="172"/>
      <c r="AE302" s="172"/>
      <c r="AF302" s="172"/>
      <c r="AG302" s="172"/>
      <c r="AH302" s="172"/>
      <c r="AI302" s="172"/>
      <c r="AJ302" s="172"/>
      <c r="AK302" s="172"/>
      <c r="AL302" s="172"/>
    </row>
    <row r="303" spans="1:38" s="49" customFormat="1">
      <c r="A303" s="53">
        <v>35</v>
      </c>
      <c r="B303" s="60" t="s">
        <v>45</v>
      </c>
      <c r="C303" s="60">
        <v>1982</v>
      </c>
      <c r="D303" s="60" t="s">
        <v>46</v>
      </c>
      <c r="E303" s="56" t="s">
        <v>49</v>
      </c>
      <c r="F303" s="54" t="s">
        <v>50</v>
      </c>
      <c r="G303" s="54" t="s">
        <v>51</v>
      </c>
      <c r="H303" s="54" t="s">
        <v>23</v>
      </c>
      <c r="I303" s="54"/>
      <c r="J303" s="54" t="s">
        <v>1013</v>
      </c>
      <c r="K303" s="54" t="s">
        <v>1134</v>
      </c>
      <c r="L303" s="54" t="s">
        <v>52</v>
      </c>
      <c r="M303" s="54"/>
      <c r="N303" s="54"/>
      <c r="O303" s="54" t="s">
        <v>67</v>
      </c>
      <c r="P303" s="54">
        <v>0.9</v>
      </c>
      <c r="Q303" s="54"/>
      <c r="R303" s="54">
        <f>+P303</f>
        <v>0.9</v>
      </c>
      <c r="S303" s="54"/>
      <c r="T303" s="54"/>
      <c r="U303" s="54"/>
      <c r="V303" s="54">
        <v>85</v>
      </c>
      <c r="W303" s="54"/>
      <c r="X303" s="66">
        <f t="shared" si="14"/>
        <v>0.9</v>
      </c>
      <c r="Y303" s="71">
        <f>+V303</f>
        <v>85</v>
      </c>
      <c r="Z303" s="192" t="str">
        <f t="shared" si="16"/>
        <v>F</v>
      </c>
      <c r="AA303" s="66"/>
      <c r="AB303" s="66"/>
      <c r="AC303" s="66"/>
      <c r="AD303" s="172"/>
      <c r="AE303" s="172"/>
      <c r="AF303" s="172"/>
      <c r="AG303" s="172"/>
      <c r="AH303" s="172"/>
      <c r="AI303" s="172"/>
      <c r="AJ303" s="172"/>
      <c r="AK303" s="172"/>
      <c r="AL303" s="172"/>
    </row>
    <row r="304" spans="1:38" s="49" customFormat="1">
      <c r="A304" s="53"/>
      <c r="B304" s="290" t="s">
        <v>1276</v>
      </c>
      <c r="C304" s="291">
        <v>1989</v>
      </c>
      <c r="D304" s="66"/>
      <c r="E304" s="60" t="s">
        <v>49</v>
      </c>
      <c r="F304" s="54"/>
      <c r="G304" s="54"/>
      <c r="H304" s="54"/>
      <c r="I304" s="54"/>
      <c r="J304" s="294" t="s">
        <v>1013</v>
      </c>
      <c r="K304" s="294" t="s">
        <v>1002</v>
      </c>
      <c r="L304" s="163"/>
      <c r="M304" s="54"/>
      <c r="N304" s="54"/>
      <c r="O304" t="s">
        <v>1229</v>
      </c>
      <c r="P304" s="54"/>
      <c r="Q304" s="54"/>
      <c r="R304">
        <v>0.9</v>
      </c>
      <c r="S304" s="54"/>
      <c r="T304" s="54"/>
      <c r="U304" s="54"/>
      <c r="V304" s="54"/>
      <c r="W304" s="54"/>
      <c r="X304" s="66">
        <f t="shared" si="14"/>
        <v>0.9</v>
      </c>
      <c r="Y304">
        <v>82</v>
      </c>
      <c r="Z304" s="192" t="str">
        <f t="shared" si="16"/>
        <v>F</v>
      </c>
      <c r="AA304" s="66"/>
      <c r="AB304" s="66"/>
      <c r="AC304" s="66"/>
      <c r="AD304" s="172"/>
      <c r="AE304" s="172"/>
      <c r="AF304" s="172"/>
      <c r="AG304" s="172"/>
      <c r="AH304" s="172"/>
      <c r="AI304" s="172"/>
      <c r="AJ304" s="172"/>
      <c r="AK304" s="172"/>
      <c r="AL304" s="172"/>
    </row>
    <row r="305" spans="1:38" s="49" customFormat="1">
      <c r="A305" s="53">
        <v>46</v>
      </c>
      <c r="B305" s="60" t="s">
        <v>45</v>
      </c>
      <c r="C305" s="60">
        <v>1984</v>
      </c>
      <c r="D305" s="60" t="s">
        <v>113</v>
      </c>
      <c r="E305" s="56" t="s">
        <v>49</v>
      </c>
      <c r="F305" s="54">
        <v>1983</v>
      </c>
      <c r="G305" s="54" t="s">
        <v>116</v>
      </c>
      <c r="H305" s="54" t="s">
        <v>95</v>
      </c>
      <c r="I305" s="54"/>
      <c r="J305" s="54" t="s">
        <v>1013</v>
      </c>
      <c r="K305" s="54" t="s">
        <v>1134</v>
      </c>
      <c r="L305" s="54" t="s">
        <v>117</v>
      </c>
      <c r="M305" s="54"/>
      <c r="N305" s="54"/>
      <c r="O305" s="54" t="s">
        <v>131</v>
      </c>
      <c r="P305" s="54">
        <v>0.9</v>
      </c>
      <c r="Q305" s="54"/>
      <c r="R305" s="54">
        <f>+P305</f>
        <v>0.9</v>
      </c>
      <c r="S305" s="54"/>
      <c r="T305" s="54"/>
      <c r="U305" s="54"/>
      <c r="V305" s="54"/>
      <c r="W305" s="54"/>
      <c r="X305" s="66">
        <f t="shared" si="14"/>
        <v>0.9</v>
      </c>
      <c r="Y305" s="71">
        <v>82</v>
      </c>
      <c r="Z305" s="192" t="str">
        <f t="shared" si="16"/>
        <v>F</v>
      </c>
      <c r="AA305" s="66"/>
      <c r="AB305" s="66"/>
      <c r="AC305" s="66"/>
      <c r="AD305" s="172"/>
      <c r="AE305" s="172"/>
      <c r="AF305" s="172"/>
      <c r="AG305" s="172"/>
      <c r="AH305" s="172"/>
      <c r="AI305" s="172"/>
      <c r="AJ305" s="172"/>
      <c r="AK305" s="172"/>
      <c r="AL305" s="172"/>
    </row>
    <row r="306" spans="1:38" s="49" customFormat="1">
      <c r="A306" s="53"/>
      <c r="B306" s="290" t="s">
        <v>1276</v>
      </c>
      <c r="C306" s="291">
        <v>1989</v>
      </c>
      <c r="D306" s="66"/>
      <c r="E306" s="60" t="s">
        <v>49</v>
      </c>
      <c r="F306" s="54"/>
      <c r="G306" s="54"/>
      <c r="H306" s="54"/>
      <c r="I306" s="54"/>
      <c r="J306" s="294" t="s">
        <v>1013</v>
      </c>
      <c r="K306" s="294" t="s">
        <v>1257</v>
      </c>
      <c r="L306" s="39"/>
      <c r="M306" s="45"/>
      <c r="N306" s="45"/>
      <c r="O306" t="s">
        <v>1274</v>
      </c>
      <c r="P306" s="45"/>
      <c r="Q306" s="45"/>
      <c r="R306">
        <v>0.9</v>
      </c>
      <c r="S306"/>
      <c r="T306" s="45"/>
      <c r="U306" s="54"/>
      <c r="V306" s="54"/>
      <c r="W306" s="54"/>
      <c r="X306" s="66">
        <f t="shared" si="14"/>
        <v>0.9</v>
      </c>
      <c r="Y306">
        <v>66</v>
      </c>
      <c r="Z306" s="192" t="str">
        <f t="shared" si="16"/>
        <v>F</v>
      </c>
      <c r="AA306" s="66"/>
      <c r="AB306" s="66"/>
      <c r="AC306" s="66"/>
      <c r="AD306" s="172"/>
      <c r="AE306" s="172"/>
      <c r="AF306" s="172"/>
      <c r="AG306" s="172"/>
      <c r="AH306" s="172"/>
      <c r="AI306" s="172"/>
      <c r="AJ306" s="172"/>
      <c r="AK306" s="172"/>
      <c r="AL306" s="172"/>
    </row>
    <row r="307" spans="1:38" s="49" customFormat="1">
      <c r="A307" s="53">
        <v>181</v>
      </c>
      <c r="B307" s="54" t="s">
        <v>766</v>
      </c>
      <c r="C307" s="54">
        <v>2009</v>
      </c>
      <c r="D307" s="90" t="s">
        <v>767</v>
      </c>
      <c r="E307" s="84" t="s">
        <v>49</v>
      </c>
      <c r="F307" s="85" t="s">
        <v>780</v>
      </c>
      <c r="G307" s="54" t="s">
        <v>781</v>
      </c>
      <c r="H307" s="74" t="s">
        <v>95</v>
      </c>
      <c r="I307" s="74"/>
      <c r="J307" s="78" t="s">
        <v>1013</v>
      </c>
      <c r="K307" s="78" t="s">
        <v>1096</v>
      </c>
      <c r="L307" s="85" t="s">
        <v>782</v>
      </c>
      <c r="M307" s="85" t="s">
        <v>783</v>
      </c>
      <c r="N307" s="85" t="s">
        <v>784</v>
      </c>
      <c r="O307" s="85" t="s">
        <v>816</v>
      </c>
      <c r="P307" s="85"/>
      <c r="Q307" s="85"/>
      <c r="R307" s="54"/>
      <c r="S307" s="54"/>
      <c r="T307" s="54"/>
      <c r="U307" s="93">
        <v>0.89980392300000001</v>
      </c>
      <c r="V307" s="166"/>
      <c r="W307" s="166"/>
      <c r="X307" s="66">
        <f t="shared" si="14"/>
        <v>0.89980392300000001</v>
      </c>
      <c r="Y307" s="87">
        <v>113.6</v>
      </c>
      <c r="Z307" s="192" t="str">
        <f t="shared" si="16"/>
        <v>S</v>
      </c>
      <c r="AA307" s="66"/>
      <c r="AB307" s="66"/>
      <c r="AC307" s="66"/>
      <c r="AD307" s="172"/>
      <c r="AE307" s="172"/>
      <c r="AF307" s="172"/>
      <c r="AG307" s="172"/>
      <c r="AH307" s="172"/>
      <c r="AI307" s="172"/>
      <c r="AJ307" s="172"/>
      <c r="AK307" s="172"/>
      <c r="AL307" s="172"/>
    </row>
    <row r="308" spans="1:38" s="49" customFormat="1">
      <c r="A308" s="66"/>
      <c r="B308" s="73" t="s">
        <v>766</v>
      </c>
      <c r="C308" s="54">
        <v>2013</v>
      </c>
      <c r="D308" s="66"/>
      <c r="E308" s="56" t="s">
        <v>172</v>
      </c>
      <c r="F308" s="54">
        <v>2011</v>
      </c>
      <c r="G308" s="54" t="s">
        <v>631</v>
      </c>
      <c r="H308" s="66" t="s">
        <v>159</v>
      </c>
      <c r="I308" s="66" t="s">
        <v>1014</v>
      </c>
      <c r="J308" s="74" t="s">
        <v>1013</v>
      </c>
      <c r="K308" s="54" t="s">
        <v>1091</v>
      </c>
      <c r="L308" s="54" t="s">
        <v>975</v>
      </c>
      <c r="M308" s="66"/>
      <c r="N308" s="66"/>
      <c r="O308" s="66" t="s">
        <v>976</v>
      </c>
      <c r="P308" s="66"/>
      <c r="Q308" s="66"/>
      <c r="R308" s="66"/>
      <c r="S308" s="66"/>
      <c r="T308" s="66"/>
      <c r="U308" s="54">
        <v>0.89900000000000002</v>
      </c>
      <c r="V308" s="66"/>
      <c r="W308" s="66"/>
      <c r="X308" s="66">
        <f t="shared" si="14"/>
        <v>0.89900000000000002</v>
      </c>
      <c r="Y308" s="71">
        <v>117.2</v>
      </c>
      <c r="Z308" s="192" t="str">
        <f t="shared" si="16"/>
        <v>S</v>
      </c>
      <c r="AA308" s="66"/>
      <c r="AB308" s="66"/>
      <c r="AC308" s="66"/>
      <c r="AD308" s="172"/>
      <c r="AE308" s="172"/>
      <c r="AF308" s="172"/>
      <c r="AG308" s="172"/>
      <c r="AH308" s="172"/>
      <c r="AI308" s="172"/>
      <c r="AJ308" s="172"/>
      <c r="AK308" s="172"/>
      <c r="AL308" s="172"/>
    </row>
    <row r="309" spans="1:38" s="49" customFormat="1">
      <c r="A309" s="66"/>
      <c r="B309" s="73" t="s">
        <v>766</v>
      </c>
      <c r="C309" s="54">
        <v>2013</v>
      </c>
      <c r="D309" s="66"/>
      <c r="E309" s="56" t="s">
        <v>172</v>
      </c>
      <c r="F309" s="54">
        <v>2011</v>
      </c>
      <c r="G309" s="54" t="s">
        <v>631</v>
      </c>
      <c r="H309" s="66" t="s">
        <v>159</v>
      </c>
      <c r="I309" s="66" t="s">
        <v>1014</v>
      </c>
      <c r="J309" s="74" t="s">
        <v>1013</v>
      </c>
      <c r="K309" s="54" t="s">
        <v>1091</v>
      </c>
      <c r="L309" s="54" t="s">
        <v>974</v>
      </c>
      <c r="M309" s="66"/>
      <c r="N309" s="66"/>
      <c r="O309" s="66" t="s">
        <v>972</v>
      </c>
      <c r="P309" s="66"/>
      <c r="Q309" s="66"/>
      <c r="R309" s="66"/>
      <c r="S309" s="66"/>
      <c r="T309" s="66"/>
      <c r="U309" s="54">
        <v>0.89800000000000002</v>
      </c>
      <c r="V309" s="66"/>
      <c r="W309" s="66"/>
      <c r="X309" s="66">
        <f t="shared" si="14"/>
        <v>0.89800000000000002</v>
      </c>
      <c r="Y309" s="71">
        <v>117.4</v>
      </c>
      <c r="Z309" s="192" t="str">
        <f t="shared" si="16"/>
        <v>S</v>
      </c>
      <c r="AA309" s="66"/>
      <c r="AB309" s="66"/>
      <c r="AC309" s="66"/>
      <c r="AD309" s="172"/>
      <c r="AE309" s="172"/>
      <c r="AF309" s="172"/>
      <c r="AG309" s="172"/>
      <c r="AH309" s="172"/>
      <c r="AI309" s="172"/>
      <c r="AJ309" s="172"/>
      <c r="AK309" s="172"/>
      <c r="AL309" s="172"/>
    </row>
    <row r="310" spans="1:38" s="49" customFormat="1">
      <c r="A310" s="66"/>
      <c r="B310" s="73" t="s">
        <v>766</v>
      </c>
      <c r="C310" s="54">
        <v>2013</v>
      </c>
      <c r="D310" s="66"/>
      <c r="E310" s="56" t="s">
        <v>172</v>
      </c>
      <c r="F310" s="54">
        <v>2011</v>
      </c>
      <c r="G310" s="54" t="s">
        <v>631</v>
      </c>
      <c r="H310" s="66" t="s">
        <v>159</v>
      </c>
      <c r="I310" s="66" t="s">
        <v>1014</v>
      </c>
      <c r="J310" s="74" t="s">
        <v>1013</v>
      </c>
      <c r="K310" s="54" t="s">
        <v>1091</v>
      </c>
      <c r="L310" s="54" t="s">
        <v>978</v>
      </c>
      <c r="M310" s="66"/>
      <c r="N310" s="66"/>
      <c r="O310" s="66" t="s">
        <v>977</v>
      </c>
      <c r="P310" s="66"/>
      <c r="Q310" s="66"/>
      <c r="R310" s="66"/>
      <c r="S310" s="66"/>
      <c r="T310" s="66"/>
      <c r="U310" s="54">
        <v>0.89700000000000002</v>
      </c>
      <c r="V310" s="66"/>
      <c r="W310" s="66"/>
      <c r="X310" s="66">
        <f t="shared" si="14"/>
        <v>0.89700000000000002</v>
      </c>
      <c r="Y310" s="71">
        <v>119.2</v>
      </c>
      <c r="Z310" s="192" t="str">
        <f t="shared" si="16"/>
        <v>S</v>
      </c>
      <c r="AA310" s="66"/>
      <c r="AB310" s="66"/>
      <c r="AC310" s="66"/>
      <c r="AD310" s="172"/>
      <c r="AE310" s="172"/>
      <c r="AF310" s="172"/>
      <c r="AG310" s="172"/>
      <c r="AH310" s="172"/>
      <c r="AI310" s="172"/>
      <c r="AJ310" s="172"/>
      <c r="AK310" s="172"/>
      <c r="AL310" s="172"/>
    </row>
    <row r="311" spans="1:38" s="49" customFormat="1">
      <c r="A311" s="66"/>
      <c r="B311" s="73" t="s">
        <v>766</v>
      </c>
      <c r="C311" s="54">
        <v>2013</v>
      </c>
      <c r="D311" s="66"/>
      <c r="E311" s="56" t="s">
        <v>172</v>
      </c>
      <c r="F311" s="54">
        <v>2011</v>
      </c>
      <c r="G311" s="54" t="s">
        <v>631</v>
      </c>
      <c r="H311" s="66" t="s">
        <v>159</v>
      </c>
      <c r="I311" s="66" t="s">
        <v>1014</v>
      </c>
      <c r="J311" s="74" t="s">
        <v>1013</v>
      </c>
      <c r="K311" s="54" t="s">
        <v>1091</v>
      </c>
      <c r="L311" s="54" t="s">
        <v>975</v>
      </c>
      <c r="M311" s="66"/>
      <c r="N311" s="66"/>
      <c r="O311" s="66" t="s">
        <v>976</v>
      </c>
      <c r="P311" s="66"/>
      <c r="Q311" s="66"/>
      <c r="R311" s="66"/>
      <c r="S311" s="66"/>
      <c r="T311" s="66"/>
      <c r="U311" s="54">
        <v>0.89500000000000002</v>
      </c>
      <c r="V311" s="66"/>
      <c r="W311" s="66"/>
      <c r="X311" s="66">
        <f t="shared" si="14"/>
        <v>0.89500000000000002</v>
      </c>
      <c r="Y311" s="71">
        <v>121.7</v>
      </c>
      <c r="Z311" s="192" t="str">
        <f t="shared" si="16"/>
        <v>S</v>
      </c>
      <c r="AA311" s="66"/>
      <c r="AB311" s="66"/>
      <c r="AC311" s="66"/>
      <c r="AD311" s="172"/>
      <c r="AE311" s="172"/>
      <c r="AF311" s="172"/>
      <c r="AG311" s="172"/>
      <c r="AH311" s="172"/>
      <c r="AI311" s="172"/>
      <c r="AJ311" s="172"/>
      <c r="AK311" s="172"/>
      <c r="AL311" s="172"/>
    </row>
    <row r="312" spans="1:38" s="49" customFormat="1">
      <c r="A312" s="66"/>
      <c r="B312" s="73" t="s">
        <v>766</v>
      </c>
      <c r="C312" s="54">
        <v>2013</v>
      </c>
      <c r="D312" s="66"/>
      <c r="E312" s="56" t="s">
        <v>172</v>
      </c>
      <c r="F312" s="54">
        <v>2011</v>
      </c>
      <c r="G312" s="54" t="s">
        <v>631</v>
      </c>
      <c r="H312" s="66" t="s">
        <v>159</v>
      </c>
      <c r="I312" s="66" t="s">
        <v>1014</v>
      </c>
      <c r="J312" s="74" t="s">
        <v>1013</v>
      </c>
      <c r="K312" s="54" t="s">
        <v>1091</v>
      </c>
      <c r="L312" s="54" t="s">
        <v>978</v>
      </c>
      <c r="M312" s="66"/>
      <c r="N312" s="66"/>
      <c r="O312" s="66" t="s">
        <v>977</v>
      </c>
      <c r="P312" s="66"/>
      <c r="Q312" s="66"/>
      <c r="R312" s="66"/>
      <c r="S312" s="66"/>
      <c r="T312" s="66"/>
      <c r="U312" s="54">
        <v>0.89500000000000002</v>
      </c>
      <c r="V312" s="66"/>
      <c r="W312" s="66"/>
      <c r="X312" s="66">
        <f t="shared" si="14"/>
        <v>0.89500000000000002</v>
      </c>
      <c r="Y312" s="71">
        <v>121.4</v>
      </c>
      <c r="Z312" s="192" t="str">
        <f t="shared" si="16"/>
        <v>S</v>
      </c>
      <c r="AA312" s="66"/>
      <c r="AB312" s="66"/>
      <c r="AC312" s="66"/>
      <c r="AD312" s="172"/>
      <c r="AE312" s="172"/>
      <c r="AF312" s="172"/>
      <c r="AG312" s="172"/>
      <c r="AH312" s="172"/>
      <c r="AI312" s="172"/>
      <c r="AJ312" s="172"/>
      <c r="AK312" s="172"/>
      <c r="AL312" s="172"/>
    </row>
    <row r="313" spans="1:38" s="49" customFormat="1">
      <c r="A313" s="66"/>
      <c r="B313" s="73" t="s">
        <v>766</v>
      </c>
      <c r="C313" s="54">
        <v>2013</v>
      </c>
      <c r="D313" s="66"/>
      <c r="E313" s="56" t="s">
        <v>172</v>
      </c>
      <c r="F313" s="54">
        <v>2011</v>
      </c>
      <c r="G313" s="54" t="s">
        <v>631</v>
      </c>
      <c r="H313" s="66" t="s">
        <v>159</v>
      </c>
      <c r="I313" s="66" t="s">
        <v>1014</v>
      </c>
      <c r="J313" s="74" t="s">
        <v>1013</v>
      </c>
      <c r="K313" s="54" t="s">
        <v>1091</v>
      </c>
      <c r="L313" s="54" t="s">
        <v>975</v>
      </c>
      <c r="M313" s="66"/>
      <c r="N313" s="66"/>
      <c r="O313" s="66" t="s">
        <v>976</v>
      </c>
      <c r="P313" s="66"/>
      <c r="Q313" s="66"/>
      <c r="R313" s="66"/>
      <c r="S313" s="66"/>
      <c r="T313" s="66"/>
      <c r="U313" s="54">
        <v>0.89400000000000002</v>
      </c>
      <c r="V313" s="66"/>
      <c r="W313" s="66"/>
      <c r="X313" s="66">
        <f t="shared" si="14"/>
        <v>0.89400000000000002</v>
      </c>
      <c r="Y313" s="71">
        <v>122.9</v>
      </c>
      <c r="Z313" s="192" t="str">
        <f t="shared" si="16"/>
        <v>S</v>
      </c>
      <c r="AA313" s="66"/>
      <c r="AB313" s="66"/>
      <c r="AC313" s="66"/>
      <c r="AD313" s="172"/>
      <c r="AE313" s="172"/>
      <c r="AF313" s="172"/>
      <c r="AG313" s="172"/>
      <c r="AH313" s="172"/>
      <c r="AI313" s="172"/>
      <c r="AJ313" s="172"/>
      <c r="AK313" s="172"/>
      <c r="AL313" s="172"/>
    </row>
    <row r="314" spans="1:38" s="49" customFormat="1">
      <c r="A314" s="53"/>
      <c r="B314" s="290" t="s">
        <v>1276</v>
      </c>
      <c r="C314" s="291">
        <v>1989</v>
      </c>
      <c r="D314" s="66"/>
      <c r="E314" s="60" t="s">
        <v>49</v>
      </c>
      <c r="F314" s="54"/>
      <c r="G314" s="54"/>
      <c r="H314" s="54"/>
      <c r="I314" s="54"/>
      <c r="J314" s="294" t="s">
        <v>1013</v>
      </c>
      <c r="K314" s="294" t="s">
        <v>1256</v>
      </c>
      <c r="L314" s="39"/>
      <c r="M314" s="45"/>
      <c r="N314" s="45"/>
      <c r="O314" t="s">
        <v>1265</v>
      </c>
      <c r="P314" s="45"/>
      <c r="Q314" s="45"/>
      <c r="R314">
        <v>0.89300000000000002</v>
      </c>
      <c r="S314"/>
      <c r="T314" s="45"/>
      <c r="U314" s="54"/>
      <c r="V314" s="54"/>
      <c r="W314" s="54"/>
      <c r="X314" s="66">
        <f t="shared" si="14"/>
        <v>0.89300000000000002</v>
      </c>
      <c r="Y314">
        <v>73</v>
      </c>
      <c r="Z314" s="192" t="str">
        <f t="shared" si="16"/>
        <v>S</v>
      </c>
      <c r="AA314" s="66"/>
      <c r="AB314" s="66"/>
      <c r="AC314" s="66"/>
      <c r="AD314" s="172"/>
      <c r="AE314" s="172"/>
      <c r="AF314" s="172"/>
      <c r="AG314" s="172"/>
      <c r="AH314" s="172"/>
      <c r="AI314" s="172"/>
      <c r="AJ314" s="172"/>
      <c r="AK314" s="172"/>
      <c r="AL314" s="172"/>
    </row>
    <row r="315" spans="1:38" s="49" customFormat="1">
      <c r="A315" s="66"/>
      <c r="B315" s="73" t="s">
        <v>766</v>
      </c>
      <c r="C315" s="54">
        <v>2013</v>
      </c>
      <c r="D315" s="66"/>
      <c r="E315" s="56" t="s">
        <v>172</v>
      </c>
      <c r="F315" s="54">
        <v>2011</v>
      </c>
      <c r="G315" s="54" t="s">
        <v>631</v>
      </c>
      <c r="H315" s="66" t="s">
        <v>159</v>
      </c>
      <c r="I315" s="66" t="s">
        <v>1014</v>
      </c>
      <c r="J315" s="74" t="s">
        <v>1013</v>
      </c>
      <c r="K315" s="54" t="s">
        <v>1091</v>
      </c>
      <c r="L315" s="54" t="s">
        <v>974</v>
      </c>
      <c r="M315" s="66"/>
      <c r="N315" s="66"/>
      <c r="O315" s="66" t="s">
        <v>972</v>
      </c>
      <c r="P315" s="66"/>
      <c r="Q315" s="66"/>
      <c r="R315" s="66"/>
      <c r="S315" s="66"/>
      <c r="T315" s="66"/>
      <c r="U315" s="54">
        <v>0.89200000000000002</v>
      </c>
      <c r="V315" s="66"/>
      <c r="W315" s="66"/>
      <c r="X315" s="66">
        <f t="shared" si="14"/>
        <v>0.89200000000000002</v>
      </c>
      <c r="Y315" s="71">
        <v>125.1</v>
      </c>
      <c r="Z315" s="192" t="str">
        <f t="shared" si="16"/>
        <v>S</v>
      </c>
      <c r="AA315" s="66"/>
      <c r="AB315" s="66"/>
      <c r="AC315" s="66"/>
      <c r="AD315" s="172"/>
      <c r="AE315" s="172"/>
      <c r="AF315" s="172"/>
      <c r="AG315" s="172"/>
      <c r="AH315" s="172"/>
      <c r="AI315" s="172"/>
      <c r="AJ315" s="172"/>
      <c r="AK315" s="172"/>
      <c r="AL315" s="172"/>
    </row>
    <row r="316" spans="1:38" s="49" customFormat="1">
      <c r="A316" s="66"/>
      <c r="B316" s="73" t="s">
        <v>766</v>
      </c>
      <c r="C316" s="54">
        <v>2013</v>
      </c>
      <c r="D316" s="66"/>
      <c r="E316" s="56" t="s">
        <v>172</v>
      </c>
      <c r="F316" s="54">
        <v>2011</v>
      </c>
      <c r="G316" s="54" t="s">
        <v>631</v>
      </c>
      <c r="H316" s="66" t="s">
        <v>159</v>
      </c>
      <c r="I316" s="66" t="s">
        <v>1014</v>
      </c>
      <c r="J316" s="74" t="s">
        <v>1013</v>
      </c>
      <c r="K316" s="54" t="s">
        <v>1091</v>
      </c>
      <c r="L316" s="54" t="s">
        <v>974</v>
      </c>
      <c r="M316" s="66"/>
      <c r="N316" s="66"/>
      <c r="O316" s="66" t="s">
        <v>972</v>
      </c>
      <c r="P316" s="66"/>
      <c r="Q316" s="66"/>
      <c r="R316" s="66"/>
      <c r="S316" s="66"/>
      <c r="T316" s="66"/>
      <c r="U316" s="54">
        <v>0.89200000000000002</v>
      </c>
      <c r="V316" s="66"/>
      <c r="W316" s="66"/>
      <c r="X316" s="66">
        <f t="shared" si="14"/>
        <v>0.89200000000000002</v>
      </c>
      <c r="Y316" s="71">
        <v>124.9</v>
      </c>
      <c r="Z316" s="192" t="str">
        <f t="shared" si="16"/>
        <v>S</v>
      </c>
      <c r="AA316" s="66"/>
      <c r="AB316" s="66"/>
      <c r="AC316" s="66"/>
      <c r="AD316" s="172"/>
      <c r="AE316" s="172"/>
      <c r="AF316" s="172"/>
      <c r="AG316" s="172"/>
      <c r="AH316" s="172"/>
      <c r="AI316" s="172"/>
      <c r="AJ316" s="172"/>
      <c r="AK316" s="172"/>
      <c r="AL316" s="172"/>
    </row>
    <row r="317" spans="1:38" s="49" customFormat="1">
      <c r="A317" s="53">
        <v>203</v>
      </c>
      <c r="B317" s="73" t="s">
        <v>940</v>
      </c>
      <c r="C317" s="54">
        <v>2011</v>
      </c>
      <c r="D317" s="73" t="s">
        <v>941</v>
      </c>
      <c r="E317" s="56" t="s">
        <v>20</v>
      </c>
      <c r="F317" s="54">
        <v>2009</v>
      </c>
      <c r="G317" s="54" t="s">
        <v>326</v>
      </c>
      <c r="H317" s="54"/>
      <c r="I317" s="54"/>
      <c r="J317" s="66" t="s">
        <v>1013</v>
      </c>
      <c r="K317" s="54" t="s">
        <v>1091</v>
      </c>
      <c r="L317" s="54" t="s">
        <v>725</v>
      </c>
      <c r="M317" s="54"/>
      <c r="N317" s="54"/>
      <c r="O317" s="54">
        <v>61</v>
      </c>
      <c r="P317" s="54"/>
      <c r="Q317" s="54"/>
      <c r="R317" s="54"/>
      <c r="S317" s="54"/>
      <c r="T317" s="54"/>
      <c r="U317" s="54">
        <v>0.89</v>
      </c>
      <c r="V317" s="54"/>
      <c r="W317" s="54"/>
      <c r="X317" s="66">
        <f t="shared" si="14"/>
        <v>0.89</v>
      </c>
      <c r="Y317" s="71">
        <v>128.4</v>
      </c>
      <c r="Z317" s="192" t="str">
        <f t="shared" si="16"/>
        <v>S</v>
      </c>
      <c r="AA317" s="66"/>
      <c r="AB317" s="66"/>
      <c r="AC317" s="66"/>
      <c r="AD317" s="172"/>
      <c r="AE317" s="172"/>
      <c r="AF317" s="172"/>
      <c r="AG317" s="172"/>
      <c r="AH317" s="172"/>
      <c r="AI317" s="172"/>
      <c r="AJ317" s="172"/>
      <c r="AK317" s="172"/>
      <c r="AL317" s="172"/>
    </row>
    <row r="318" spans="1:38" s="49" customFormat="1">
      <c r="A318" s="66"/>
      <c r="B318" s="73" t="s">
        <v>766</v>
      </c>
      <c r="C318" s="54">
        <v>2013</v>
      </c>
      <c r="D318" s="66"/>
      <c r="E318" s="56" t="s">
        <v>172</v>
      </c>
      <c r="F318" s="54">
        <v>2011</v>
      </c>
      <c r="G318" s="54" t="s">
        <v>631</v>
      </c>
      <c r="H318" s="66" t="s">
        <v>159</v>
      </c>
      <c r="I318" s="66" t="s">
        <v>1014</v>
      </c>
      <c r="J318" s="74" t="s">
        <v>1013</v>
      </c>
      <c r="K318" s="54" t="s">
        <v>1091</v>
      </c>
      <c r="L318" s="54" t="s">
        <v>975</v>
      </c>
      <c r="M318" s="66"/>
      <c r="N318" s="66"/>
      <c r="O318" s="66" t="s">
        <v>976</v>
      </c>
      <c r="P318" s="66"/>
      <c r="Q318" s="66"/>
      <c r="R318" s="66"/>
      <c r="S318" s="66"/>
      <c r="T318" s="66"/>
      <c r="U318" s="54">
        <v>0.89</v>
      </c>
      <c r="V318" s="66"/>
      <c r="W318" s="66"/>
      <c r="X318" s="66">
        <f t="shared" si="14"/>
        <v>0.89</v>
      </c>
      <c r="Y318" s="71">
        <v>127.4</v>
      </c>
      <c r="Z318" s="192" t="str">
        <f t="shared" si="16"/>
        <v>S</v>
      </c>
      <c r="AA318" s="66"/>
      <c r="AB318" s="66"/>
      <c r="AC318" s="66"/>
      <c r="AD318" s="172"/>
      <c r="AE318" s="172"/>
      <c r="AF318" s="172"/>
      <c r="AG318" s="172"/>
      <c r="AH318" s="172"/>
      <c r="AI318" s="172"/>
      <c r="AJ318" s="172"/>
      <c r="AK318" s="172"/>
      <c r="AL318" s="172"/>
    </row>
    <row r="319" spans="1:38" s="49" customFormat="1">
      <c r="A319" s="66"/>
      <c r="B319" s="73" t="s">
        <v>766</v>
      </c>
      <c r="C319" s="54">
        <v>2013</v>
      </c>
      <c r="D319" s="66"/>
      <c r="E319" s="56" t="s">
        <v>172</v>
      </c>
      <c r="F319" s="54">
        <v>2011</v>
      </c>
      <c r="G319" s="54" t="s">
        <v>631</v>
      </c>
      <c r="H319" s="66" t="s">
        <v>159</v>
      </c>
      <c r="I319" s="66" t="s">
        <v>1014</v>
      </c>
      <c r="J319" s="74" t="s">
        <v>1013</v>
      </c>
      <c r="K319" s="54" t="s">
        <v>1091</v>
      </c>
      <c r="L319" s="54" t="s">
        <v>974</v>
      </c>
      <c r="M319" s="66"/>
      <c r="N319" s="66"/>
      <c r="O319" s="66" t="s">
        <v>972</v>
      </c>
      <c r="P319" s="66"/>
      <c r="Q319" s="66"/>
      <c r="R319" s="66"/>
      <c r="S319" s="66"/>
      <c r="T319" s="66"/>
      <c r="U319" s="54">
        <v>0.89</v>
      </c>
      <c r="V319" s="66"/>
      <c r="W319" s="66"/>
      <c r="X319" s="66">
        <f t="shared" si="14"/>
        <v>0.89</v>
      </c>
      <c r="Y319" s="71">
        <v>126.9</v>
      </c>
      <c r="Z319" s="192" t="str">
        <f t="shared" si="16"/>
        <v>S</v>
      </c>
      <c r="AA319" s="66"/>
      <c r="AB319" s="66"/>
      <c r="AC319" s="66"/>
      <c r="AD319" s="172"/>
      <c r="AE319" s="172"/>
      <c r="AF319" s="172"/>
      <c r="AG319" s="172"/>
      <c r="AH319" s="172"/>
      <c r="AI319" s="172"/>
      <c r="AJ319" s="172"/>
      <c r="AK319" s="172"/>
      <c r="AL319" s="172"/>
    </row>
    <row r="320" spans="1:38" s="49" customFormat="1">
      <c r="A320" s="66"/>
      <c r="B320" s="73" t="s">
        <v>766</v>
      </c>
      <c r="C320" s="54">
        <v>2013</v>
      </c>
      <c r="D320" s="66"/>
      <c r="E320" s="56" t="s">
        <v>172</v>
      </c>
      <c r="F320" s="54">
        <v>2011</v>
      </c>
      <c r="G320" s="54" t="s">
        <v>631</v>
      </c>
      <c r="H320" s="66" t="s">
        <v>159</v>
      </c>
      <c r="I320" s="66" t="s">
        <v>1014</v>
      </c>
      <c r="J320" s="74" t="s">
        <v>1013</v>
      </c>
      <c r="K320" s="54" t="s">
        <v>1091</v>
      </c>
      <c r="L320" s="54" t="s">
        <v>974</v>
      </c>
      <c r="M320" s="66"/>
      <c r="N320" s="66"/>
      <c r="O320" s="66" t="s">
        <v>972</v>
      </c>
      <c r="P320" s="66"/>
      <c r="Q320" s="66"/>
      <c r="R320" s="66"/>
      <c r="S320" s="66"/>
      <c r="T320" s="66"/>
      <c r="U320" s="54">
        <v>0.89</v>
      </c>
      <c r="V320" s="66"/>
      <c r="W320" s="66"/>
      <c r="X320" s="66">
        <f t="shared" si="14"/>
        <v>0.89</v>
      </c>
      <c r="Y320" s="71">
        <v>126.8</v>
      </c>
      <c r="Z320" s="192" t="str">
        <f t="shared" si="16"/>
        <v>S</v>
      </c>
      <c r="AA320" s="66"/>
      <c r="AB320" s="66"/>
      <c r="AC320" s="66"/>
      <c r="AD320" s="172"/>
      <c r="AE320" s="172"/>
      <c r="AF320" s="172"/>
      <c r="AG320" s="172"/>
      <c r="AH320" s="172"/>
      <c r="AI320" s="172"/>
      <c r="AJ320" s="172"/>
      <c r="AK320" s="172"/>
      <c r="AL320" s="172"/>
    </row>
    <row r="321" spans="1:38" s="49" customFormat="1">
      <c r="A321" s="53"/>
      <c r="B321" s="290" t="s">
        <v>1276</v>
      </c>
      <c r="C321" s="291">
        <v>1989</v>
      </c>
      <c r="D321" s="66"/>
      <c r="E321" s="60" t="s">
        <v>49</v>
      </c>
      <c r="F321" s="54"/>
      <c r="G321" s="54"/>
      <c r="H321" s="54"/>
      <c r="I321" s="54"/>
      <c r="J321" s="294" t="s">
        <v>1013</v>
      </c>
      <c r="K321" s="294" t="s">
        <v>1002</v>
      </c>
      <c r="L321" s="163"/>
      <c r="M321" s="54"/>
      <c r="N321" s="54"/>
      <c r="O321" t="s">
        <v>1226</v>
      </c>
      <c r="P321" s="54"/>
      <c r="Q321" s="54"/>
      <c r="R321">
        <v>0.89</v>
      </c>
      <c r="S321" s="54"/>
      <c r="T321" s="54"/>
      <c r="U321" s="54"/>
      <c r="V321" s="54"/>
      <c r="W321" s="54"/>
      <c r="X321" s="66">
        <f t="shared" si="14"/>
        <v>0.89</v>
      </c>
      <c r="Y321">
        <v>112</v>
      </c>
      <c r="Z321" s="192" t="str">
        <f t="shared" si="16"/>
        <v>S</v>
      </c>
      <c r="AA321" s="66"/>
      <c r="AB321" s="66"/>
      <c r="AC321" s="66"/>
      <c r="AD321" s="172"/>
      <c r="AE321" s="172"/>
      <c r="AF321" s="172"/>
      <c r="AG321" s="172"/>
      <c r="AH321" s="172"/>
      <c r="AI321" s="172"/>
      <c r="AJ321" s="172"/>
      <c r="AK321" s="172"/>
      <c r="AL321" s="172"/>
    </row>
    <row r="322" spans="1:38" s="49" customFormat="1">
      <c r="A322" s="53">
        <v>46</v>
      </c>
      <c r="B322" s="60" t="s">
        <v>45</v>
      </c>
      <c r="C322" s="60">
        <v>1984</v>
      </c>
      <c r="D322" s="60" t="s">
        <v>113</v>
      </c>
      <c r="E322" s="56" t="s">
        <v>49</v>
      </c>
      <c r="F322" s="54">
        <v>1983</v>
      </c>
      <c r="G322" s="54" t="s">
        <v>116</v>
      </c>
      <c r="H322" s="54" t="s">
        <v>95</v>
      </c>
      <c r="I322" s="54"/>
      <c r="J322" s="54" t="s">
        <v>1013</v>
      </c>
      <c r="K322" s="54" t="s">
        <v>1134</v>
      </c>
      <c r="L322" s="54" t="s">
        <v>117</v>
      </c>
      <c r="M322" s="54"/>
      <c r="N322" s="54"/>
      <c r="O322" s="54" t="s">
        <v>123</v>
      </c>
      <c r="P322" s="54">
        <v>0.89</v>
      </c>
      <c r="Q322" s="54"/>
      <c r="R322" s="54">
        <f>+P322</f>
        <v>0.89</v>
      </c>
      <c r="S322" s="54"/>
      <c r="T322" s="54"/>
      <c r="U322" s="54"/>
      <c r="V322" s="54"/>
      <c r="W322" s="54"/>
      <c r="X322" s="66">
        <f t="shared" si="14"/>
        <v>0.89</v>
      </c>
      <c r="Y322" s="71">
        <v>112</v>
      </c>
      <c r="Z322" s="192" t="str">
        <f t="shared" si="16"/>
        <v>S</v>
      </c>
      <c r="AA322" s="66"/>
      <c r="AB322" s="66"/>
      <c r="AC322" s="66"/>
      <c r="AD322" s="172"/>
      <c r="AE322" s="172"/>
      <c r="AF322" s="172"/>
      <c r="AG322" s="172"/>
      <c r="AH322" s="172"/>
      <c r="AI322" s="172"/>
      <c r="AJ322" s="172"/>
      <c r="AK322" s="172"/>
      <c r="AL322" s="172"/>
    </row>
    <row r="323" spans="1:38" s="49" customFormat="1">
      <c r="A323" s="53"/>
      <c r="B323" s="290" t="s">
        <v>1276</v>
      </c>
      <c r="C323" s="291">
        <v>1989</v>
      </c>
      <c r="D323" s="66"/>
      <c r="E323" s="60" t="s">
        <v>49</v>
      </c>
      <c r="F323" s="54"/>
      <c r="G323" s="54"/>
      <c r="H323" s="54"/>
      <c r="I323" s="54"/>
      <c r="J323" s="294" t="s">
        <v>1013</v>
      </c>
      <c r="K323" s="294" t="s">
        <v>1002</v>
      </c>
      <c r="L323" s="163"/>
      <c r="M323" s="54"/>
      <c r="N323" s="54"/>
      <c r="O323" t="s">
        <v>1228</v>
      </c>
      <c r="P323" s="54"/>
      <c r="Q323" s="54"/>
      <c r="R323">
        <v>0.89</v>
      </c>
      <c r="S323" s="54"/>
      <c r="T323" s="54"/>
      <c r="U323" s="54"/>
      <c r="V323" s="54"/>
      <c r="W323" s="54"/>
      <c r="X323" s="66">
        <f t="shared" si="14"/>
        <v>0.89</v>
      </c>
      <c r="Y323">
        <v>101</v>
      </c>
      <c r="Z323" s="192" t="str">
        <f t="shared" si="16"/>
        <v>S</v>
      </c>
      <c r="AA323" s="66"/>
      <c r="AB323" s="66"/>
      <c r="AC323" s="66"/>
      <c r="AD323" s="172"/>
      <c r="AE323" s="172"/>
      <c r="AF323" s="172"/>
      <c r="AG323" s="172"/>
      <c r="AH323" s="172"/>
      <c r="AI323" s="172"/>
      <c r="AJ323" s="172"/>
      <c r="AK323" s="172"/>
      <c r="AL323" s="172"/>
    </row>
    <row r="324" spans="1:38" s="49" customFormat="1">
      <c r="A324" s="53">
        <v>46</v>
      </c>
      <c r="B324" s="60" t="s">
        <v>45</v>
      </c>
      <c r="C324" s="60">
        <v>1984</v>
      </c>
      <c r="D324" s="60" t="s">
        <v>113</v>
      </c>
      <c r="E324" s="56" t="s">
        <v>49</v>
      </c>
      <c r="F324" s="54">
        <v>1983</v>
      </c>
      <c r="G324" s="54" t="s">
        <v>116</v>
      </c>
      <c r="H324" s="54" t="s">
        <v>95</v>
      </c>
      <c r="I324" s="54"/>
      <c r="J324" s="54" t="s">
        <v>1013</v>
      </c>
      <c r="K324" s="54" t="s">
        <v>1134</v>
      </c>
      <c r="L324" s="54" t="s">
        <v>117</v>
      </c>
      <c r="M324" s="54"/>
      <c r="N324" s="54"/>
      <c r="O324" s="54" t="s">
        <v>126</v>
      </c>
      <c r="P324" s="54">
        <v>0.89</v>
      </c>
      <c r="Q324" s="54"/>
      <c r="R324" s="54">
        <f>+P324</f>
        <v>0.89</v>
      </c>
      <c r="S324" s="54"/>
      <c r="T324" s="54"/>
      <c r="U324" s="54"/>
      <c r="V324" s="54"/>
      <c r="W324" s="54"/>
      <c r="X324" s="66">
        <f t="shared" si="14"/>
        <v>0.89</v>
      </c>
      <c r="Y324" s="71">
        <v>101</v>
      </c>
      <c r="Z324" s="192" t="str">
        <f t="shared" si="16"/>
        <v>S</v>
      </c>
      <c r="AA324" s="66"/>
      <c r="AB324" s="66"/>
      <c r="AC324" s="66"/>
      <c r="AD324" s="172"/>
      <c r="AE324" s="172"/>
      <c r="AF324" s="172"/>
      <c r="AG324" s="172"/>
      <c r="AH324" s="172"/>
      <c r="AI324" s="172"/>
      <c r="AJ324" s="172"/>
      <c r="AK324" s="172"/>
      <c r="AL324" s="172"/>
    </row>
    <row r="325" spans="1:38" s="49" customFormat="1">
      <c r="A325" s="53">
        <v>181</v>
      </c>
      <c r="B325" s="54" t="s">
        <v>766</v>
      </c>
      <c r="C325" s="54">
        <v>2009</v>
      </c>
      <c r="D325" s="90" t="s">
        <v>767</v>
      </c>
      <c r="E325" s="84" t="s">
        <v>49</v>
      </c>
      <c r="F325" s="85" t="s">
        <v>773</v>
      </c>
      <c r="G325" s="54" t="s">
        <v>774</v>
      </c>
      <c r="H325" s="74" t="s">
        <v>581</v>
      </c>
      <c r="I325" s="74"/>
      <c r="J325" s="74" t="s">
        <v>1013</v>
      </c>
      <c r="K325" s="74" t="s">
        <v>1096</v>
      </c>
      <c r="L325" s="85" t="s">
        <v>775</v>
      </c>
      <c r="M325" s="85" t="s">
        <v>164</v>
      </c>
      <c r="N325" s="85"/>
      <c r="O325" s="85" t="s">
        <v>776</v>
      </c>
      <c r="P325" s="85"/>
      <c r="Q325" s="85"/>
      <c r="R325" s="54"/>
      <c r="S325" s="54"/>
      <c r="T325" s="54"/>
      <c r="U325" s="93">
        <v>0.88962645699999998</v>
      </c>
      <c r="V325" s="166"/>
      <c r="W325" s="166"/>
      <c r="X325" s="66">
        <f t="shared" si="14"/>
        <v>0.88962645699999998</v>
      </c>
      <c r="Y325" s="87">
        <v>126.7422756</v>
      </c>
      <c r="Z325" s="192" t="str">
        <f t="shared" si="16"/>
        <v>S</v>
      </c>
      <c r="AA325" s="66"/>
      <c r="AB325" s="66"/>
      <c r="AC325" s="66"/>
      <c r="AD325" s="172"/>
      <c r="AE325" s="172"/>
      <c r="AF325" s="172"/>
      <c r="AG325" s="172"/>
      <c r="AH325" s="172"/>
      <c r="AI325" s="172"/>
      <c r="AJ325" s="172"/>
      <c r="AK325" s="172"/>
      <c r="AL325" s="172"/>
    </row>
    <row r="326" spans="1:38" s="49" customFormat="1">
      <c r="A326" s="66"/>
      <c r="B326" s="73" t="s">
        <v>766</v>
      </c>
      <c r="C326" s="54">
        <v>2013</v>
      </c>
      <c r="D326" s="66"/>
      <c r="E326" s="56" t="s">
        <v>172</v>
      </c>
      <c r="F326" s="54">
        <v>2011</v>
      </c>
      <c r="G326" s="54" t="s">
        <v>631</v>
      </c>
      <c r="H326" s="66" t="s">
        <v>159</v>
      </c>
      <c r="I326" s="66" t="s">
        <v>1014</v>
      </c>
      <c r="J326" s="74" t="s">
        <v>1013</v>
      </c>
      <c r="K326" s="54" t="s">
        <v>1091</v>
      </c>
      <c r="L326" s="54" t="s">
        <v>974</v>
      </c>
      <c r="M326" s="66"/>
      <c r="N326" s="66"/>
      <c r="O326" s="66" t="s">
        <v>972</v>
      </c>
      <c r="P326" s="66"/>
      <c r="Q326" s="66"/>
      <c r="R326" s="66"/>
      <c r="S326" s="66"/>
      <c r="T326" s="66"/>
      <c r="U326" s="54">
        <v>0.88900000000000001</v>
      </c>
      <c r="V326" s="66"/>
      <c r="W326" s="66"/>
      <c r="X326" s="66">
        <f t="shared" si="14"/>
        <v>0.88900000000000001</v>
      </c>
      <c r="Y326" s="71">
        <v>128.4</v>
      </c>
      <c r="Z326" s="192" t="str">
        <f t="shared" si="16"/>
        <v>S</v>
      </c>
      <c r="AA326" s="66"/>
      <c r="AB326" s="66"/>
      <c r="AC326" s="66"/>
      <c r="AD326" s="172"/>
      <c r="AE326" s="172"/>
      <c r="AF326" s="172"/>
      <c r="AG326" s="172"/>
      <c r="AH326" s="172"/>
      <c r="AI326" s="172"/>
      <c r="AJ326" s="172"/>
      <c r="AK326" s="172"/>
      <c r="AL326" s="172"/>
    </row>
    <row r="327" spans="1:38" s="49" customFormat="1">
      <c r="A327" s="66"/>
      <c r="B327" s="73" t="s">
        <v>766</v>
      </c>
      <c r="C327" s="54">
        <v>2013</v>
      </c>
      <c r="D327" s="66"/>
      <c r="E327" s="56" t="s">
        <v>172</v>
      </c>
      <c r="F327" s="54">
        <v>2011</v>
      </c>
      <c r="G327" s="54" t="s">
        <v>631</v>
      </c>
      <c r="H327" s="66" t="s">
        <v>159</v>
      </c>
      <c r="I327" s="66" t="s">
        <v>1014</v>
      </c>
      <c r="J327" s="74" t="s">
        <v>1013</v>
      </c>
      <c r="K327" s="54" t="s">
        <v>1091</v>
      </c>
      <c r="L327" s="54" t="s">
        <v>978</v>
      </c>
      <c r="M327" s="66"/>
      <c r="N327" s="66"/>
      <c r="O327" s="66" t="s">
        <v>977</v>
      </c>
      <c r="P327" s="66"/>
      <c r="Q327" s="66"/>
      <c r="R327" s="66"/>
      <c r="S327" s="66"/>
      <c r="T327" s="66"/>
      <c r="U327" s="54">
        <v>0.88900000000000001</v>
      </c>
      <c r="V327" s="66"/>
      <c r="W327" s="66"/>
      <c r="X327" s="66">
        <f t="shared" si="14"/>
        <v>0.88900000000000001</v>
      </c>
      <c r="Y327" s="71">
        <v>127.5</v>
      </c>
      <c r="Z327" s="192" t="str">
        <f t="shared" si="16"/>
        <v>S</v>
      </c>
      <c r="AA327" s="66"/>
      <c r="AB327" s="66"/>
      <c r="AC327" s="66"/>
      <c r="AD327" s="172"/>
      <c r="AE327" s="172"/>
      <c r="AF327" s="172"/>
      <c r="AG327" s="172"/>
      <c r="AH327" s="172"/>
      <c r="AI327" s="172"/>
      <c r="AJ327" s="172"/>
      <c r="AK327" s="172"/>
      <c r="AL327" s="172"/>
    </row>
    <row r="328" spans="1:38" s="49" customFormat="1">
      <c r="A328" s="66"/>
      <c r="B328" s="73" t="s">
        <v>766</v>
      </c>
      <c r="C328" s="54">
        <v>2013</v>
      </c>
      <c r="D328" s="66"/>
      <c r="E328" s="56" t="s">
        <v>172</v>
      </c>
      <c r="F328" s="54">
        <v>2011</v>
      </c>
      <c r="G328" s="54" t="s">
        <v>631</v>
      </c>
      <c r="H328" s="66" t="s">
        <v>159</v>
      </c>
      <c r="I328" s="66" t="s">
        <v>1014</v>
      </c>
      <c r="J328" s="74" t="s">
        <v>1013</v>
      </c>
      <c r="K328" s="54" t="s">
        <v>1091</v>
      </c>
      <c r="L328" s="54" t="s">
        <v>974</v>
      </c>
      <c r="M328" s="66"/>
      <c r="N328" s="66"/>
      <c r="O328" s="66" t="s">
        <v>972</v>
      </c>
      <c r="P328" s="66"/>
      <c r="Q328" s="66"/>
      <c r="R328" s="66"/>
      <c r="S328" s="66"/>
      <c r="T328" s="66"/>
      <c r="U328" s="54">
        <v>0.88600000000000001</v>
      </c>
      <c r="V328" s="66"/>
      <c r="W328" s="66"/>
      <c r="X328" s="66">
        <f t="shared" si="14"/>
        <v>0.88600000000000001</v>
      </c>
      <c r="Y328" s="71">
        <v>131.80000000000001</v>
      </c>
      <c r="Z328" s="192" t="str">
        <f t="shared" si="16"/>
        <v>S</v>
      </c>
      <c r="AA328" s="66"/>
      <c r="AB328" s="66"/>
      <c r="AC328" s="66"/>
      <c r="AD328" s="172"/>
      <c r="AE328" s="172"/>
      <c r="AF328" s="172"/>
      <c r="AG328" s="172"/>
      <c r="AH328" s="172"/>
      <c r="AI328" s="172"/>
      <c r="AJ328" s="172"/>
      <c r="AK328" s="172"/>
      <c r="AL328" s="172"/>
    </row>
    <row r="329" spans="1:38" s="49" customFormat="1">
      <c r="A329" s="66"/>
      <c r="B329" s="73" t="s">
        <v>766</v>
      </c>
      <c r="C329" s="54">
        <v>2013</v>
      </c>
      <c r="D329" s="66"/>
      <c r="E329" s="56" t="s">
        <v>172</v>
      </c>
      <c r="F329" s="54">
        <v>2011</v>
      </c>
      <c r="G329" s="54" t="s">
        <v>631</v>
      </c>
      <c r="H329" s="66" t="s">
        <v>159</v>
      </c>
      <c r="I329" s="66" t="s">
        <v>1014</v>
      </c>
      <c r="J329" s="74" t="s">
        <v>1013</v>
      </c>
      <c r="K329" s="54" t="s">
        <v>1091</v>
      </c>
      <c r="L329" s="54" t="s">
        <v>978</v>
      </c>
      <c r="M329" s="66"/>
      <c r="N329" s="66"/>
      <c r="O329" s="66" t="s">
        <v>977</v>
      </c>
      <c r="P329" s="66"/>
      <c r="Q329" s="66"/>
      <c r="R329" s="66"/>
      <c r="S329" s="66"/>
      <c r="T329" s="66"/>
      <c r="U329" s="54">
        <v>0.88600000000000001</v>
      </c>
      <c r="V329" s="66"/>
      <c r="W329" s="66"/>
      <c r="X329" s="66">
        <f t="shared" si="14"/>
        <v>0.88600000000000001</v>
      </c>
      <c r="Y329" s="71">
        <v>131.30000000000001</v>
      </c>
      <c r="Z329" s="192" t="str">
        <f t="shared" si="16"/>
        <v>S</v>
      </c>
      <c r="AA329" s="66"/>
      <c r="AB329" s="66"/>
      <c r="AC329" s="66"/>
      <c r="AD329" s="172"/>
      <c r="AE329" s="172"/>
      <c r="AF329" s="172"/>
      <c r="AG329" s="172"/>
      <c r="AH329" s="172"/>
      <c r="AI329" s="172"/>
      <c r="AJ329" s="172"/>
      <c r="AK329" s="172"/>
      <c r="AL329" s="172"/>
    </row>
    <row r="330" spans="1:38" s="49" customFormat="1">
      <c r="A330" s="66"/>
      <c r="B330" s="73" t="s">
        <v>766</v>
      </c>
      <c r="C330" s="54">
        <v>2013</v>
      </c>
      <c r="D330" s="66"/>
      <c r="E330" s="56" t="s">
        <v>172</v>
      </c>
      <c r="F330" s="54">
        <v>2011</v>
      </c>
      <c r="G330" s="54" t="s">
        <v>631</v>
      </c>
      <c r="H330" s="66" t="s">
        <v>159</v>
      </c>
      <c r="I330" s="66" t="s">
        <v>1014</v>
      </c>
      <c r="J330" s="74" t="s">
        <v>1013</v>
      </c>
      <c r="K330" s="54" t="s">
        <v>1091</v>
      </c>
      <c r="L330" s="54" t="s">
        <v>978</v>
      </c>
      <c r="M330" s="66"/>
      <c r="N330" s="66"/>
      <c r="O330" s="66" t="s">
        <v>977</v>
      </c>
      <c r="P330" s="66"/>
      <c r="Q330" s="66"/>
      <c r="R330" s="66"/>
      <c r="S330" s="66"/>
      <c r="T330" s="66"/>
      <c r="U330" s="54">
        <v>0.88500000000000001</v>
      </c>
      <c r="V330" s="66"/>
      <c r="W330" s="66"/>
      <c r="X330" s="66">
        <f t="shared" si="14"/>
        <v>0.88500000000000001</v>
      </c>
      <c r="Y330" s="71">
        <v>132.9</v>
      </c>
      <c r="Z330" s="192" t="str">
        <f t="shared" si="16"/>
        <v>S</v>
      </c>
      <c r="AA330" s="66"/>
      <c r="AB330" s="66"/>
      <c r="AC330" s="66"/>
      <c r="AD330" s="172"/>
      <c r="AE330" s="172"/>
      <c r="AF330" s="172"/>
      <c r="AG330" s="172"/>
      <c r="AH330" s="172"/>
      <c r="AI330" s="172"/>
      <c r="AJ330" s="172"/>
      <c r="AK330" s="172"/>
      <c r="AL330" s="172"/>
    </row>
    <row r="331" spans="1:38" s="49" customFormat="1">
      <c r="A331" s="66"/>
      <c r="B331" s="73" t="s">
        <v>766</v>
      </c>
      <c r="C331" s="54">
        <v>2013</v>
      </c>
      <c r="D331" s="66"/>
      <c r="E331" s="56" t="s">
        <v>172</v>
      </c>
      <c r="F331" s="54">
        <v>2011</v>
      </c>
      <c r="G331" s="54" t="s">
        <v>631</v>
      </c>
      <c r="H331" s="66" t="s">
        <v>159</v>
      </c>
      <c r="I331" s="66" t="s">
        <v>1014</v>
      </c>
      <c r="J331" s="74" t="s">
        <v>1013</v>
      </c>
      <c r="K331" s="54" t="s">
        <v>1091</v>
      </c>
      <c r="L331" s="54" t="s">
        <v>974</v>
      </c>
      <c r="M331" s="66"/>
      <c r="N331" s="66"/>
      <c r="O331" s="66" t="s">
        <v>972</v>
      </c>
      <c r="P331" s="66"/>
      <c r="Q331" s="66"/>
      <c r="R331" s="66"/>
      <c r="S331" s="66"/>
      <c r="T331" s="66"/>
      <c r="U331" s="54">
        <v>0.88500000000000001</v>
      </c>
      <c r="V331" s="66"/>
      <c r="W331" s="66"/>
      <c r="X331" s="66">
        <f t="shared" ref="X331:X394" si="17">IF(R331&lt;&gt;0,IF(R331&gt;1,R331/100,R331),IF(U331&lt;&gt;0,IF(U331&gt;1,U331/100,U331),""))</f>
        <v>0.88500000000000001</v>
      </c>
      <c r="Y331" s="71">
        <v>132.5</v>
      </c>
      <c r="Z331" s="192" t="str">
        <f t="shared" si="16"/>
        <v>S</v>
      </c>
      <c r="AA331" s="66"/>
      <c r="AB331" s="66"/>
      <c r="AC331" s="66"/>
      <c r="AD331" s="172"/>
      <c r="AE331" s="172"/>
      <c r="AF331" s="172"/>
      <c r="AG331" s="172"/>
      <c r="AH331" s="172"/>
      <c r="AI331" s="172"/>
      <c r="AJ331" s="172"/>
      <c r="AK331" s="172"/>
      <c r="AL331" s="172"/>
    </row>
    <row r="332" spans="1:38" s="49" customFormat="1">
      <c r="A332" s="53">
        <v>173</v>
      </c>
      <c r="B332" s="54" t="s">
        <v>585</v>
      </c>
      <c r="C332" s="54">
        <v>2011</v>
      </c>
      <c r="D332" s="78" t="s">
        <v>636</v>
      </c>
      <c r="E332" s="56" t="s">
        <v>638</v>
      </c>
      <c r="F332" s="57" t="s">
        <v>656</v>
      </c>
      <c r="G332" s="54" t="s">
        <v>657</v>
      </c>
      <c r="H332" s="54" t="s">
        <v>146</v>
      </c>
      <c r="I332" s="54"/>
      <c r="J332" s="66" t="s">
        <v>1013</v>
      </c>
      <c r="K332" s="54" t="s">
        <v>1082</v>
      </c>
      <c r="L332" s="54" t="s">
        <v>660</v>
      </c>
      <c r="M332" s="59"/>
      <c r="N332" s="59"/>
      <c r="O332" s="54" t="s">
        <v>661</v>
      </c>
      <c r="P332" s="60"/>
      <c r="Q332" s="60"/>
      <c r="R332" s="54"/>
      <c r="S332" s="54"/>
      <c r="T332" s="54"/>
      <c r="U332" s="61">
        <v>0.88500000000000001</v>
      </c>
      <c r="V332" s="61"/>
      <c r="W332" s="61"/>
      <c r="X332" s="66">
        <f t="shared" si="17"/>
        <v>0.88500000000000001</v>
      </c>
      <c r="Y332" s="71">
        <v>126</v>
      </c>
      <c r="Z332" s="192" t="str">
        <f t="shared" ref="Z332:Z363" si="18">IF(X332&lt;&gt;"",IF(X332&lt;0.9,"S","F"),"")</f>
        <v>S</v>
      </c>
      <c r="AA332" s="66"/>
      <c r="AB332" s="66"/>
      <c r="AC332" s="66"/>
      <c r="AD332" s="172"/>
      <c r="AE332" s="172"/>
      <c r="AF332" s="172"/>
      <c r="AG332" s="172"/>
      <c r="AH332" s="172"/>
      <c r="AI332" s="172"/>
      <c r="AJ332" s="172"/>
      <c r="AK332" s="172"/>
      <c r="AL332" s="172"/>
    </row>
    <row r="333" spans="1:38" s="49" customFormat="1">
      <c r="A333" s="66"/>
      <c r="B333" s="73" t="s">
        <v>766</v>
      </c>
      <c r="C333" s="54">
        <v>2013</v>
      </c>
      <c r="D333" s="66"/>
      <c r="E333" s="56" t="s">
        <v>172</v>
      </c>
      <c r="F333" s="54">
        <v>2011</v>
      </c>
      <c r="G333" s="54" t="s">
        <v>631</v>
      </c>
      <c r="H333" s="66" t="s">
        <v>159</v>
      </c>
      <c r="I333" s="66" t="s">
        <v>1014</v>
      </c>
      <c r="J333" s="74" t="s">
        <v>1013</v>
      </c>
      <c r="K333" s="54" t="s">
        <v>1091</v>
      </c>
      <c r="L333" s="54" t="s">
        <v>974</v>
      </c>
      <c r="M333" s="66"/>
      <c r="N333" s="66"/>
      <c r="O333" s="66" t="s">
        <v>972</v>
      </c>
      <c r="P333" s="66"/>
      <c r="Q333" s="66"/>
      <c r="R333" s="66"/>
      <c r="S333" s="66"/>
      <c r="T333" s="66"/>
      <c r="U333" s="54">
        <v>0.88400000000000001</v>
      </c>
      <c r="V333" s="66"/>
      <c r="W333" s="66"/>
      <c r="X333" s="66">
        <f t="shared" si="17"/>
        <v>0.88400000000000001</v>
      </c>
      <c r="Y333" s="71">
        <v>134</v>
      </c>
      <c r="Z333" s="192" t="str">
        <f t="shared" si="18"/>
        <v>S</v>
      </c>
      <c r="AA333" s="66"/>
      <c r="AB333" s="66"/>
      <c r="AC333" s="66"/>
      <c r="AD333" s="172"/>
      <c r="AE333" s="172"/>
      <c r="AF333" s="172"/>
      <c r="AG333" s="172"/>
      <c r="AH333" s="172"/>
      <c r="AI333" s="172"/>
      <c r="AJ333" s="172"/>
      <c r="AK333" s="172"/>
      <c r="AL333" s="172"/>
    </row>
    <row r="334" spans="1:38" s="49" customFormat="1">
      <c r="A334" s="66"/>
      <c r="B334" s="73" t="s">
        <v>766</v>
      </c>
      <c r="C334" s="54">
        <v>2013</v>
      </c>
      <c r="D334" s="66"/>
      <c r="E334" s="56" t="s">
        <v>172</v>
      </c>
      <c r="F334" s="54">
        <v>2011</v>
      </c>
      <c r="G334" s="54" t="s">
        <v>631</v>
      </c>
      <c r="H334" s="66" t="s">
        <v>159</v>
      </c>
      <c r="I334" s="66" t="s">
        <v>1014</v>
      </c>
      <c r="J334" s="74" t="s">
        <v>1013</v>
      </c>
      <c r="K334" s="54" t="s">
        <v>1091</v>
      </c>
      <c r="L334" s="54" t="s">
        <v>974</v>
      </c>
      <c r="M334" s="66"/>
      <c r="N334" s="66"/>
      <c r="O334" s="66" t="s">
        <v>972</v>
      </c>
      <c r="P334" s="66"/>
      <c r="Q334" s="66"/>
      <c r="R334" s="66"/>
      <c r="S334" s="66"/>
      <c r="T334" s="66"/>
      <c r="U334" s="54">
        <v>0.88400000000000001</v>
      </c>
      <c r="V334" s="66"/>
      <c r="W334" s="66"/>
      <c r="X334" s="66">
        <f t="shared" si="17"/>
        <v>0.88400000000000001</v>
      </c>
      <c r="Y334" s="71">
        <v>133.5</v>
      </c>
      <c r="Z334" s="192" t="str">
        <f t="shared" si="18"/>
        <v>S</v>
      </c>
      <c r="AA334" s="66"/>
      <c r="AB334" s="66"/>
      <c r="AC334" s="66"/>
      <c r="AD334" s="172"/>
      <c r="AE334" s="172"/>
      <c r="AF334" s="172"/>
      <c r="AG334" s="172"/>
      <c r="AH334" s="172"/>
      <c r="AI334" s="172"/>
      <c r="AJ334" s="172"/>
      <c r="AK334" s="172"/>
      <c r="AL334" s="172"/>
    </row>
    <row r="335" spans="1:38" s="49" customFormat="1">
      <c r="A335" s="53"/>
      <c r="B335" s="290" t="s">
        <v>1276</v>
      </c>
      <c r="C335" s="291">
        <v>1989</v>
      </c>
      <c r="D335" s="66"/>
      <c r="E335" s="60" t="s">
        <v>49</v>
      </c>
      <c r="F335" s="54"/>
      <c r="G335" s="54"/>
      <c r="H335" s="54"/>
      <c r="I335" s="54"/>
      <c r="J335" s="294" t="s">
        <v>1013</v>
      </c>
      <c r="K335" s="294" t="s">
        <v>1256</v>
      </c>
      <c r="L335" s="39"/>
      <c r="M335" s="45"/>
      <c r="N335" s="45"/>
      <c r="O335" t="s">
        <v>1266</v>
      </c>
      <c r="P335" s="45"/>
      <c r="Q335" s="45"/>
      <c r="R335">
        <v>0.88200000000000001</v>
      </c>
      <c r="S335"/>
      <c r="T335" s="45"/>
      <c r="U335" s="54"/>
      <c r="V335" s="54"/>
      <c r="W335" s="54"/>
      <c r="X335" s="66">
        <f t="shared" si="17"/>
        <v>0.88200000000000001</v>
      </c>
      <c r="Y335">
        <v>73</v>
      </c>
      <c r="Z335" s="192" t="str">
        <f t="shared" si="18"/>
        <v>S</v>
      </c>
      <c r="AA335" s="66"/>
      <c r="AB335" s="66"/>
      <c r="AC335" s="66"/>
      <c r="AD335" s="172"/>
      <c r="AE335" s="172"/>
      <c r="AF335" s="172"/>
      <c r="AG335" s="172"/>
      <c r="AH335" s="172"/>
      <c r="AI335" s="172"/>
      <c r="AJ335" s="172"/>
      <c r="AK335" s="172"/>
      <c r="AL335" s="172"/>
    </row>
    <row r="336" spans="1:38" s="49" customFormat="1">
      <c r="A336" s="53">
        <v>197</v>
      </c>
      <c r="B336" s="73" t="s">
        <v>875</v>
      </c>
      <c r="C336" s="54">
        <v>2007</v>
      </c>
      <c r="D336" s="73" t="s">
        <v>928</v>
      </c>
      <c r="E336" s="56" t="s">
        <v>20</v>
      </c>
      <c r="F336" s="54">
        <v>2003</v>
      </c>
      <c r="G336" s="54" t="s">
        <v>326</v>
      </c>
      <c r="H336" s="54" t="s">
        <v>159</v>
      </c>
      <c r="I336" s="54"/>
      <c r="J336" s="66" t="s">
        <v>1013</v>
      </c>
      <c r="K336" s="54" t="s">
        <v>1111</v>
      </c>
      <c r="L336" s="54" t="s">
        <v>315</v>
      </c>
      <c r="M336" s="54"/>
      <c r="N336" s="54"/>
      <c r="O336" s="54" t="s">
        <v>930</v>
      </c>
      <c r="P336" s="66"/>
      <c r="Q336" s="54">
        <v>0.88</v>
      </c>
      <c r="R336" s="66">
        <f>+Q336</f>
        <v>0.88</v>
      </c>
      <c r="S336" s="66"/>
      <c r="T336" s="66"/>
      <c r="U336" s="66"/>
      <c r="V336" s="66"/>
      <c r="W336" s="54">
        <v>126.7</v>
      </c>
      <c r="X336" s="66">
        <f t="shared" si="17"/>
        <v>0.88</v>
      </c>
      <c r="Y336" s="206">
        <f>+W336</f>
        <v>126.7</v>
      </c>
      <c r="Z336" s="192" t="str">
        <f t="shared" si="18"/>
        <v>S</v>
      </c>
      <c r="AA336" s="66"/>
      <c r="AB336" s="66"/>
      <c r="AC336" s="66"/>
      <c r="AD336" s="172"/>
      <c r="AE336" s="172"/>
      <c r="AF336" s="172"/>
      <c r="AG336" s="172"/>
      <c r="AH336" s="172"/>
      <c r="AI336" s="172"/>
      <c r="AJ336" s="172"/>
      <c r="AK336" s="172"/>
      <c r="AL336" s="172"/>
    </row>
    <row r="337" spans="1:38" s="49" customFormat="1">
      <c r="A337" s="53"/>
      <c r="B337" s="290" t="s">
        <v>1276</v>
      </c>
      <c r="C337" s="291">
        <v>1989</v>
      </c>
      <c r="D337" s="66"/>
      <c r="E337" s="60" t="s">
        <v>49</v>
      </c>
      <c r="F337" s="54"/>
      <c r="G337" s="54"/>
      <c r="H337" s="54"/>
      <c r="I337" s="54"/>
      <c r="J337" s="294" t="s">
        <v>1013</v>
      </c>
      <c r="K337" s="294" t="s">
        <v>1002</v>
      </c>
      <c r="L337" s="163"/>
      <c r="M337" s="54"/>
      <c r="N337" s="54"/>
      <c r="O337" t="s">
        <v>1227</v>
      </c>
      <c r="P337" s="54"/>
      <c r="Q337" s="54"/>
      <c r="R337">
        <v>0.88</v>
      </c>
      <c r="S337" s="54"/>
      <c r="T337" s="54"/>
      <c r="U337" s="54"/>
      <c r="V337" s="54"/>
      <c r="W337" s="54"/>
      <c r="X337" s="66">
        <f t="shared" si="17"/>
        <v>0.88</v>
      </c>
      <c r="Y337">
        <v>94</v>
      </c>
      <c r="Z337" s="192" t="str">
        <f t="shared" si="18"/>
        <v>S</v>
      </c>
      <c r="AA337" s="66"/>
      <c r="AB337" s="66"/>
      <c r="AC337" s="66"/>
      <c r="AD337" s="172"/>
      <c r="AE337" s="172"/>
      <c r="AF337" s="172"/>
      <c r="AG337" s="172"/>
      <c r="AH337" s="172"/>
      <c r="AI337" s="172"/>
      <c r="AJ337" s="172"/>
      <c r="AK337" s="172"/>
      <c r="AL337" s="172"/>
    </row>
    <row r="338" spans="1:38" s="49" customFormat="1">
      <c r="A338" s="53">
        <v>46</v>
      </c>
      <c r="B338" s="60" t="s">
        <v>45</v>
      </c>
      <c r="C338" s="60">
        <v>1984</v>
      </c>
      <c r="D338" s="60" t="s">
        <v>113</v>
      </c>
      <c r="E338" s="56" t="s">
        <v>49</v>
      </c>
      <c r="F338" s="54">
        <v>1983</v>
      </c>
      <c r="G338" s="54" t="s">
        <v>116</v>
      </c>
      <c r="H338" s="54" t="s">
        <v>95</v>
      </c>
      <c r="I338" s="54"/>
      <c r="J338" s="54" t="s">
        <v>1013</v>
      </c>
      <c r="K338" s="54" t="s">
        <v>1134</v>
      </c>
      <c r="L338" s="54" t="s">
        <v>117</v>
      </c>
      <c r="M338" s="54"/>
      <c r="N338" s="54"/>
      <c r="O338" s="54" t="s">
        <v>121</v>
      </c>
      <c r="P338" s="54">
        <v>0.88</v>
      </c>
      <c r="Q338" s="54"/>
      <c r="R338" s="54">
        <f>+P338</f>
        <v>0.88</v>
      </c>
      <c r="S338" s="54"/>
      <c r="T338" s="54"/>
      <c r="U338" s="54"/>
      <c r="V338" s="54"/>
      <c r="W338" s="54"/>
      <c r="X338" s="66">
        <f t="shared" si="17"/>
        <v>0.88</v>
      </c>
      <c r="Y338" s="71">
        <v>94</v>
      </c>
      <c r="Z338" s="192" t="str">
        <f t="shared" si="18"/>
        <v>S</v>
      </c>
      <c r="AA338" s="66"/>
      <c r="AB338" s="66"/>
      <c r="AC338" s="66"/>
      <c r="AD338" s="172"/>
      <c r="AE338" s="172"/>
      <c r="AF338" s="172"/>
      <c r="AG338" s="172"/>
      <c r="AH338" s="172"/>
      <c r="AI338" s="172"/>
      <c r="AJ338" s="172"/>
      <c r="AK338" s="172"/>
      <c r="AL338" s="172"/>
    </row>
    <row r="339" spans="1:38" s="49" customFormat="1">
      <c r="A339" s="66"/>
      <c r="B339" s="73" t="s">
        <v>766</v>
      </c>
      <c r="C339" s="54">
        <v>2013</v>
      </c>
      <c r="D339" s="66"/>
      <c r="E339" s="56" t="s">
        <v>172</v>
      </c>
      <c r="F339" s="54">
        <v>2011</v>
      </c>
      <c r="G339" s="54" t="s">
        <v>631</v>
      </c>
      <c r="H339" s="66" t="s">
        <v>159</v>
      </c>
      <c r="I339" s="66" t="s">
        <v>1014</v>
      </c>
      <c r="J339" s="74" t="s">
        <v>1013</v>
      </c>
      <c r="K339" s="54" t="s">
        <v>1091</v>
      </c>
      <c r="L339" s="54" t="s">
        <v>978</v>
      </c>
      <c r="M339" s="66"/>
      <c r="N339" s="66"/>
      <c r="O339" s="66" t="s">
        <v>977</v>
      </c>
      <c r="P339" s="66"/>
      <c r="Q339" s="66"/>
      <c r="R339" s="66"/>
      <c r="S339" s="66"/>
      <c r="T339" s="66"/>
      <c r="U339" s="54">
        <v>0.879</v>
      </c>
      <c r="V339" s="66"/>
      <c r="W339" s="66"/>
      <c r="X339" s="66">
        <f t="shared" si="17"/>
        <v>0.879</v>
      </c>
      <c r="Y339" s="71">
        <v>139.5</v>
      </c>
      <c r="Z339" s="192" t="str">
        <f t="shared" si="18"/>
        <v>S</v>
      </c>
      <c r="AA339" s="66"/>
      <c r="AB339" s="66"/>
      <c r="AC339" s="66"/>
      <c r="AD339" s="172"/>
      <c r="AE339" s="172"/>
      <c r="AF339" s="172"/>
      <c r="AG339" s="172"/>
      <c r="AH339" s="172"/>
      <c r="AI339" s="172"/>
      <c r="AJ339" s="172"/>
      <c r="AK339" s="172"/>
      <c r="AL339" s="172"/>
    </row>
    <row r="340" spans="1:38" s="45" customFormat="1">
      <c r="A340" s="66"/>
      <c r="B340" s="73" t="s">
        <v>766</v>
      </c>
      <c r="C340" s="54">
        <v>2013</v>
      </c>
      <c r="D340" s="66"/>
      <c r="E340" s="56" t="s">
        <v>172</v>
      </c>
      <c r="F340" s="54">
        <v>2011</v>
      </c>
      <c r="G340" s="54" t="s">
        <v>631</v>
      </c>
      <c r="H340" s="66" t="s">
        <v>159</v>
      </c>
      <c r="I340" s="66" t="s">
        <v>1014</v>
      </c>
      <c r="J340" s="74" t="s">
        <v>1013</v>
      </c>
      <c r="K340" s="54" t="s">
        <v>1091</v>
      </c>
      <c r="L340" s="54" t="s">
        <v>978</v>
      </c>
      <c r="M340" s="66"/>
      <c r="N340" s="66"/>
      <c r="O340" s="66" t="s">
        <v>977</v>
      </c>
      <c r="P340" s="66"/>
      <c r="Q340" s="66"/>
      <c r="R340" s="66"/>
      <c r="S340" s="66"/>
      <c r="T340" s="66"/>
      <c r="U340" s="54">
        <v>0.878</v>
      </c>
      <c r="V340" s="66"/>
      <c r="W340" s="66"/>
      <c r="X340" s="66">
        <f t="shared" si="17"/>
        <v>0.878</v>
      </c>
      <c r="Y340" s="71">
        <v>140.69999999999999</v>
      </c>
      <c r="Z340" s="192" t="str">
        <f t="shared" si="18"/>
        <v>S</v>
      </c>
      <c r="AA340" s="66"/>
      <c r="AB340" s="66"/>
      <c r="AC340" s="66"/>
      <c r="AD340" s="172"/>
      <c r="AE340" s="172"/>
      <c r="AF340" s="172"/>
      <c r="AG340" s="172"/>
      <c r="AH340" s="172"/>
      <c r="AI340" s="172"/>
      <c r="AJ340" s="172"/>
      <c r="AK340" s="172"/>
      <c r="AL340" s="172"/>
    </row>
    <row r="341" spans="1:38" s="45" customFormat="1">
      <c r="A341" s="66"/>
      <c r="B341" s="73" t="s">
        <v>766</v>
      </c>
      <c r="C341" s="54">
        <v>2013</v>
      </c>
      <c r="D341" s="66"/>
      <c r="E341" s="56" t="s">
        <v>172</v>
      </c>
      <c r="F341" s="54">
        <v>2011</v>
      </c>
      <c r="G341" s="54" t="s">
        <v>631</v>
      </c>
      <c r="H341" s="66" t="s">
        <v>159</v>
      </c>
      <c r="I341" s="66" t="s">
        <v>1014</v>
      </c>
      <c r="J341" s="74" t="s">
        <v>1013</v>
      </c>
      <c r="K341" s="54" t="s">
        <v>1091</v>
      </c>
      <c r="L341" s="54" t="s">
        <v>974</v>
      </c>
      <c r="M341" s="66"/>
      <c r="N341" s="66"/>
      <c r="O341" s="66" t="s">
        <v>972</v>
      </c>
      <c r="P341" s="66"/>
      <c r="Q341" s="66"/>
      <c r="R341" s="66"/>
      <c r="S341" s="66"/>
      <c r="T341" s="66"/>
      <c r="U341" s="54">
        <v>0.876</v>
      </c>
      <c r="V341" s="66"/>
      <c r="W341" s="66"/>
      <c r="X341" s="66">
        <f t="shared" si="17"/>
        <v>0.876</v>
      </c>
      <c r="Y341" s="71">
        <v>143.19999999999999</v>
      </c>
      <c r="Z341" s="192" t="str">
        <f t="shared" si="18"/>
        <v>S</v>
      </c>
      <c r="AA341" s="66"/>
      <c r="AB341" s="66"/>
      <c r="AC341" s="66"/>
      <c r="AD341" s="172"/>
      <c r="AE341" s="172"/>
      <c r="AF341" s="172"/>
      <c r="AG341" s="172"/>
      <c r="AH341" s="172"/>
      <c r="AI341" s="172"/>
      <c r="AJ341" s="172"/>
      <c r="AK341" s="172"/>
      <c r="AL341" s="172"/>
    </row>
    <row r="342" spans="1:38" s="45" customFormat="1">
      <c r="A342" s="66"/>
      <c r="B342" s="73" t="s">
        <v>766</v>
      </c>
      <c r="C342" s="54">
        <v>2013</v>
      </c>
      <c r="D342" s="66"/>
      <c r="E342" s="56" t="s">
        <v>172</v>
      </c>
      <c r="F342" s="54">
        <v>2011</v>
      </c>
      <c r="G342" s="54" t="s">
        <v>631</v>
      </c>
      <c r="H342" s="66" t="s">
        <v>159</v>
      </c>
      <c r="I342" s="66" t="s">
        <v>1014</v>
      </c>
      <c r="J342" s="74" t="s">
        <v>1013</v>
      </c>
      <c r="K342" s="54" t="s">
        <v>1091</v>
      </c>
      <c r="L342" s="54" t="s">
        <v>978</v>
      </c>
      <c r="M342" s="66"/>
      <c r="N342" s="66"/>
      <c r="O342" s="66" t="s">
        <v>977</v>
      </c>
      <c r="P342" s="66"/>
      <c r="Q342" s="66"/>
      <c r="R342" s="66"/>
      <c r="S342" s="66"/>
      <c r="T342" s="66"/>
      <c r="U342" s="54">
        <v>0.876</v>
      </c>
      <c r="V342" s="66"/>
      <c r="W342" s="66"/>
      <c r="X342" s="66">
        <f t="shared" si="17"/>
        <v>0.876</v>
      </c>
      <c r="Y342" s="71">
        <v>143.1</v>
      </c>
      <c r="Z342" s="192" t="str">
        <f t="shared" si="18"/>
        <v>S</v>
      </c>
      <c r="AA342" s="66"/>
      <c r="AB342" s="66"/>
      <c r="AC342" s="66"/>
      <c r="AD342" s="172"/>
      <c r="AE342" s="172"/>
      <c r="AF342" s="172"/>
      <c r="AG342" s="172"/>
      <c r="AH342" s="172"/>
      <c r="AI342" s="172"/>
      <c r="AJ342" s="172"/>
      <c r="AK342" s="172"/>
      <c r="AL342" s="172"/>
    </row>
    <row r="343" spans="1:38" s="45" customFormat="1">
      <c r="A343" s="66"/>
      <c r="B343" s="73" t="s">
        <v>766</v>
      </c>
      <c r="C343" s="54">
        <v>2013</v>
      </c>
      <c r="D343" s="66"/>
      <c r="E343" s="56" t="s">
        <v>172</v>
      </c>
      <c r="F343" s="54">
        <v>2011</v>
      </c>
      <c r="G343" s="54" t="s">
        <v>631</v>
      </c>
      <c r="H343" s="66" t="s">
        <v>159</v>
      </c>
      <c r="I343" s="66" t="s">
        <v>1014</v>
      </c>
      <c r="J343" s="74" t="s">
        <v>1013</v>
      </c>
      <c r="K343" s="54" t="s">
        <v>1091</v>
      </c>
      <c r="L343" s="54" t="s">
        <v>978</v>
      </c>
      <c r="M343" s="66"/>
      <c r="N343" s="66"/>
      <c r="O343" s="66" t="s">
        <v>977</v>
      </c>
      <c r="P343" s="66"/>
      <c r="Q343" s="66"/>
      <c r="R343" s="66"/>
      <c r="S343" s="66"/>
      <c r="T343" s="66"/>
      <c r="U343" s="54">
        <v>0.876</v>
      </c>
      <c r="V343" s="66"/>
      <c r="W343" s="66"/>
      <c r="X343" s="66">
        <f t="shared" si="17"/>
        <v>0.876</v>
      </c>
      <c r="Y343" s="71">
        <v>143.1</v>
      </c>
      <c r="Z343" s="192" t="str">
        <f t="shared" si="18"/>
        <v>S</v>
      </c>
      <c r="AA343" s="66"/>
      <c r="AB343" s="66"/>
      <c r="AC343" s="66"/>
      <c r="AD343" s="172"/>
      <c r="AE343" s="172"/>
      <c r="AF343" s="172"/>
      <c r="AG343" s="172"/>
      <c r="AH343" s="172"/>
      <c r="AI343" s="172"/>
      <c r="AJ343" s="172"/>
      <c r="AK343" s="172"/>
      <c r="AL343" s="172"/>
    </row>
    <row r="344" spans="1:38" s="45" customFormat="1">
      <c r="A344" s="66"/>
      <c r="B344" s="73" t="s">
        <v>766</v>
      </c>
      <c r="C344" s="54">
        <v>2013</v>
      </c>
      <c r="D344" s="66"/>
      <c r="E344" s="56" t="s">
        <v>172</v>
      </c>
      <c r="F344" s="54">
        <v>2011</v>
      </c>
      <c r="G344" s="54" t="s">
        <v>631</v>
      </c>
      <c r="H344" s="66" t="s">
        <v>159</v>
      </c>
      <c r="I344" s="66" t="s">
        <v>1014</v>
      </c>
      <c r="J344" s="74" t="s">
        <v>1013</v>
      </c>
      <c r="K344" s="54" t="s">
        <v>1091</v>
      </c>
      <c r="L344" s="54" t="s">
        <v>978</v>
      </c>
      <c r="M344" s="66"/>
      <c r="N344" s="66"/>
      <c r="O344" s="66" t="s">
        <v>977</v>
      </c>
      <c r="P344" s="66"/>
      <c r="Q344" s="66"/>
      <c r="R344" s="66"/>
      <c r="S344" s="66"/>
      <c r="T344" s="66"/>
      <c r="U344" s="54">
        <v>0.876</v>
      </c>
      <c r="V344" s="66"/>
      <c r="W344" s="66"/>
      <c r="X344" s="66">
        <f t="shared" si="17"/>
        <v>0.876</v>
      </c>
      <c r="Y344" s="71">
        <v>142.69999999999999</v>
      </c>
      <c r="Z344" s="192" t="str">
        <f t="shared" si="18"/>
        <v>S</v>
      </c>
      <c r="AA344" s="66"/>
      <c r="AB344" s="66"/>
      <c r="AC344" s="66"/>
      <c r="AD344" s="172"/>
      <c r="AE344" s="172"/>
      <c r="AF344" s="172"/>
      <c r="AG344" s="172"/>
      <c r="AH344" s="172"/>
      <c r="AI344" s="172"/>
      <c r="AJ344" s="172"/>
      <c r="AK344" s="172"/>
      <c r="AL344" s="172"/>
    </row>
    <row r="345" spans="1:38" s="45" customFormat="1">
      <c r="A345" s="66"/>
      <c r="B345" s="73" t="s">
        <v>766</v>
      </c>
      <c r="C345" s="54">
        <v>2013</v>
      </c>
      <c r="D345" s="66"/>
      <c r="E345" s="56" t="s">
        <v>172</v>
      </c>
      <c r="F345" s="54">
        <v>2011</v>
      </c>
      <c r="G345" s="54" t="s">
        <v>631</v>
      </c>
      <c r="H345" s="66" t="s">
        <v>159</v>
      </c>
      <c r="I345" s="66" t="s">
        <v>1014</v>
      </c>
      <c r="J345" s="74" t="s">
        <v>1013</v>
      </c>
      <c r="K345" s="54" t="s">
        <v>1091</v>
      </c>
      <c r="L345" s="54" t="s">
        <v>974</v>
      </c>
      <c r="M345" s="66"/>
      <c r="N345" s="66"/>
      <c r="O345" s="66" t="s">
        <v>972</v>
      </c>
      <c r="P345" s="66"/>
      <c r="Q345" s="66"/>
      <c r="R345" s="66"/>
      <c r="S345" s="66"/>
      <c r="T345" s="66"/>
      <c r="U345" s="54">
        <v>0.875</v>
      </c>
      <c r="V345" s="66"/>
      <c r="W345" s="66"/>
      <c r="X345" s="66">
        <f t="shared" si="17"/>
        <v>0.875</v>
      </c>
      <c r="Y345" s="71">
        <v>144.80000000000001</v>
      </c>
      <c r="Z345" s="192" t="str">
        <f t="shared" si="18"/>
        <v>S</v>
      </c>
      <c r="AA345" s="66"/>
      <c r="AB345" s="66"/>
      <c r="AC345" s="66"/>
      <c r="AD345" s="172"/>
      <c r="AE345" s="172"/>
      <c r="AF345" s="172"/>
      <c r="AG345" s="172"/>
      <c r="AH345" s="172"/>
      <c r="AI345" s="172"/>
      <c r="AJ345" s="172"/>
      <c r="AK345" s="172"/>
      <c r="AL345" s="172"/>
    </row>
    <row r="346" spans="1:38" s="45" customFormat="1">
      <c r="A346" s="66"/>
      <c r="B346" s="73" t="s">
        <v>766</v>
      </c>
      <c r="C346" s="54">
        <v>2013</v>
      </c>
      <c r="D346" s="66"/>
      <c r="E346" s="56" t="s">
        <v>172</v>
      </c>
      <c r="F346" s="54">
        <v>2011</v>
      </c>
      <c r="G346" s="54" t="s">
        <v>631</v>
      </c>
      <c r="H346" s="66" t="s">
        <v>159</v>
      </c>
      <c r="I346" s="66" t="s">
        <v>1014</v>
      </c>
      <c r="J346" s="74" t="s">
        <v>1013</v>
      </c>
      <c r="K346" s="54" t="s">
        <v>1091</v>
      </c>
      <c r="L346" s="54" t="s">
        <v>978</v>
      </c>
      <c r="M346" s="66"/>
      <c r="N346" s="66"/>
      <c r="O346" s="66" t="s">
        <v>977</v>
      </c>
      <c r="P346" s="66"/>
      <c r="Q346" s="66"/>
      <c r="R346" s="66"/>
      <c r="S346" s="66"/>
      <c r="T346" s="66"/>
      <c r="U346" s="54">
        <v>0.875</v>
      </c>
      <c r="V346" s="66"/>
      <c r="W346" s="66"/>
      <c r="X346" s="66">
        <f t="shared" si="17"/>
        <v>0.875</v>
      </c>
      <c r="Y346" s="71">
        <v>144</v>
      </c>
      <c r="Z346" s="192" t="str">
        <f t="shared" si="18"/>
        <v>S</v>
      </c>
      <c r="AA346" s="66"/>
      <c r="AB346" s="66"/>
      <c r="AC346" s="66"/>
      <c r="AD346" s="172"/>
      <c r="AE346" s="172"/>
      <c r="AF346" s="172"/>
      <c r="AG346" s="172"/>
      <c r="AH346" s="172"/>
      <c r="AI346" s="172"/>
      <c r="AJ346" s="172"/>
      <c r="AK346" s="172"/>
      <c r="AL346" s="172"/>
    </row>
    <row r="347" spans="1:38" s="45" customFormat="1">
      <c r="A347" s="66"/>
      <c r="B347" s="73" t="s">
        <v>766</v>
      </c>
      <c r="C347" s="54">
        <v>2013</v>
      </c>
      <c r="D347" s="66"/>
      <c r="E347" s="56" t="s">
        <v>172</v>
      </c>
      <c r="F347" s="54">
        <v>2011</v>
      </c>
      <c r="G347" s="54" t="s">
        <v>631</v>
      </c>
      <c r="H347" s="66" t="s">
        <v>159</v>
      </c>
      <c r="I347" s="66" t="s">
        <v>1014</v>
      </c>
      <c r="J347" s="74" t="s">
        <v>1013</v>
      </c>
      <c r="K347" s="54" t="s">
        <v>1091</v>
      </c>
      <c r="L347" s="54" t="s">
        <v>974</v>
      </c>
      <c r="M347" s="66"/>
      <c r="N347" s="66"/>
      <c r="O347" s="66" t="s">
        <v>972</v>
      </c>
      <c r="P347" s="66"/>
      <c r="Q347" s="66"/>
      <c r="R347" s="66"/>
      <c r="S347" s="66"/>
      <c r="T347" s="66"/>
      <c r="U347" s="54">
        <v>0.875</v>
      </c>
      <c r="V347" s="66"/>
      <c r="W347" s="66"/>
      <c r="X347" s="66">
        <f t="shared" si="17"/>
        <v>0.875</v>
      </c>
      <c r="Y347" s="71">
        <v>143.80000000000001</v>
      </c>
      <c r="Z347" s="192" t="str">
        <f t="shared" si="18"/>
        <v>S</v>
      </c>
      <c r="AA347" s="66"/>
      <c r="AB347" s="66"/>
      <c r="AC347" s="66"/>
      <c r="AD347" s="172"/>
      <c r="AE347" s="172"/>
      <c r="AF347" s="172"/>
      <c r="AG347" s="172"/>
      <c r="AH347" s="172"/>
      <c r="AI347" s="172"/>
      <c r="AJ347" s="172"/>
      <c r="AK347" s="172"/>
      <c r="AL347" s="172"/>
    </row>
    <row r="348" spans="1:38" s="45" customFormat="1">
      <c r="A348" s="66"/>
      <c r="B348" s="73" t="s">
        <v>766</v>
      </c>
      <c r="C348" s="54">
        <v>2013</v>
      </c>
      <c r="D348" s="66"/>
      <c r="E348" s="56" t="s">
        <v>172</v>
      </c>
      <c r="F348" s="54">
        <v>2011</v>
      </c>
      <c r="G348" s="54" t="s">
        <v>631</v>
      </c>
      <c r="H348" s="66" t="s">
        <v>159</v>
      </c>
      <c r="I348" s="66" t="s">
        <v>1014</v>
      </c>
      <c r="J348" s="74" t="s">
        <v>1013</v>
      </c>
      <c r="K348" s="54" t="s">
        <v>1091</v>
      </c>
      <c r="L348" s="54" t="s">
        <v>978</v>
      </c>
      <c r="M348" s="66"/>
      <c r="N348" s="66"/>
      <c r="O348" s="66" t="s">
        <v>977</v>
      </c>
      <c r="P348" s="66"/>
      <c r="Q348" s="66"/>
      <c r="R348" s="66"/>
      <c r="S348" s="66"/>
      <c r="T348" s="66"/>
      <c r="U348" s="54">
        <v>0.873</v>
      </c>
      <c r="V348" s="66"/>
      <c r="W348" s="66"/>
      <c r="X348" s="66">
        <f t="shared" si="17"/>
        <v>0.873</v>
      </c>
      <c r="Y348" s="71">
        <v>147.1</v>
      </c>
      <c r="Z348" s="192" t="str">
        <f t="shared" si="18"/>
        <v>S</v>
      </c>
      <c r="AA348" s="66"/>
      <c r="AB348" s="66"/>
      <c r="AC348" s="66"/>
      <c r="AD348" s="172"/>
      <c r="AE348" s="172"/>
      <c r="AF348" s="172"/>
      <c r="AG348" s="172"/>
      <c r="AH348" s="172"/>
      <c r="AI348" s="172"/>
      <c r="AJ348" s="172"/>
      <c r="AK348" s="172"/>
      <c r="AL348" s="172"/>
    </row>
    <row r="349" spans="1:38" s="45" customFormat="1">
      <c r="A349" s="66"/>
      <c r="B349" s="73" t="s">
        <v>766</v>
      </c>
      <c r="C349" s="54">
        <v>2013</v>
      </c>
      <c r="D349" s="66"/>
      <c r="E349" s="56" t="s">
        <v>172</v>
      </c>
      <c r="F349" s="54">
        <v>2011</v>
      </c>
      <c r="G349" s="54" t="s">
        <v>631</v>
      </c>
      <c r="H349" s="66" t="s">
        <v>159</v>
      </c>
      <c r="I349" s="66" t="s">
        <v>1014</v>
      </c>
      <c r="J349" s="74" t="s">
        <v>1013</v>
      </c>
      <c r="K349" s="54" t="s">
        <v>1091</v>
      </c>
      <c r="L349" s="54" t="s">
        <v>974</v>
      </c>
      <c r="M349" s="66"/>
      <c r="N349" s="66"/>
      <c r="O349" s="66" t="s">
        <v>972</v>
      </c>
      <c r="P349" s="66"/>
      <c r="Q349" s="66"/>
      <c r="R349" s="66"/>
      <c r="S349" s="66"/>
      <c r="T349" s="66"/>
      <c r="U349" s="54">
        <v>0.871</v>
      </c>
      <c r="V349" s="66"/>
      <c r="W349" s="66"/>
      <c r="X349" s="66">
        <f t="shared" si="17"/>
        <v>0.871</v>
      </c>
      <c r="Y349" s="71">
        <v>149</v>
      </c>
      <c r="Z349" s="192" t="str">
        <f t="shared" si="18"/>
        <v>S</v>
      </c>
      <c r="AA349" s="66"/>
      <c r="AB349" s="66"/>
      <c r="AC349" s="66"/>
      <c r="AD349" s="172"/>
      <c r="AE349" s="172"/>
      <c r="AF349" s="172"/>
      <c r="AG349" s="172"/>
      <c r="AH349" s="172"/>
      <c r="AI349" s="172"/>
      <c r="AJ349" s="172"/>
      <c r="AK349" s="172"/>
      <c r="AL349" s="172"/>
    </row>
    <row r="350" spans="1:38" s="45" customFormat="1">
      <c r="A350" s="66"/>
      <c r="B350" s="73" t="s">
        <v>766</v>
      </c>
      <c r="C350" s="54">
        <v>2013</v>
      </c>
      <c r="D350" s="66"/>
      <c r="E350" s="56" t="s">
        <v>172</v>
      </c>
      <c r="F350" s="54">
        <v>2011</v>
      </c>
      <c r="G350" s="54" t="s">
        <v>631</v>
      </c>
      <c r="H350" s="66" t="s">
        <v>159</v>
      </c>
      <c r="I350" s="66" t="s">
        <v>1014</v>
      </c>
      <c r="J350" s="74" t="s">
        <v>1013</v>
      </c>
      <c r="K350" s="54" t="s">
        <v>1091</v>
      </c>
      <c r="L350" s="54" t="s">
        <v>978</v>
      </c>
      <c r="M350" s="66"/>
      <c r="N350" s="66"/>
      <c r="O350" s="66" t="s">
        <v>977</v>
      </c>
      <c r="P350" s="66"/>
      <c r="Q350" s="66"/>
      <c r="R350" s="66"/>
      <c r="S350" s="66"/>
      <c r="T350" s="66"/>
      <c r="U350" s="54">
        <v>0.871</v>
      </c>
      <c r="V350" s="66"/>
      <c r="W350" s="66"/>
      <c r="X350" s="66">
        <f t="shared" si="17"/>
        <v>0.871</v>
      </c>
      <c r="Y350" s="71">
        <v>149</v>
      </c>
      <c r="Z350" s="192" t="str">
        <f t="shared" si="18"/>
        <v>S</v>
      </c>
      <c r="AA350" s="66"/>
      <c r="AB350" s="66"/>
      <c r="AC350" s="66"/>
      <c r="AD350" s="172"/>
      <c r="AE350" s="172"/>
      <c r="AF350" s="172"/>
      <c r="AG350" s="172"/>
      <c r="AH350" s="172"/>
      <c r="AI350" s="172"/>
      <c r="AJ350" s="172"/>
      <c r="AK350" s="172"/>
      <c r="AL350" s="172"/>
    </row>
    <row r="351" spans="1:38" s="45" customFormat="1">
      <c r="A351" s="53">
        <v>197</v>
      </c>
      <c r="B351" s="73" t="s">
        <v>875</v>
      </c>
      <c r="C351" s="54">
        <v>2007</v>
      </c>
      <c r="D351" s="73" t="s">
        <v>928</v>
      </c>
      <c r="E351" s="56" t="s">
        <v>20</v>
      </c>
      <c r="F351" s="54">
        <v>2003</v>
      </c>
      <c r="G351" s="54" t="s">
        <v>326</v>
      </c>
      <c r="H351" s="54" t="s">
        <v>159</v>
      </c>
      <c r="I351" s="54"/>
      <c r="J351" s="66" t="s">
        <v>1013</v>
      </c>
      <c r="K351" s="54" t="s">
        <v>1069</v>
      </c>
      <c r="L351" s="54" t="s">
        <v>403</v>
      </c>
      <c r="M351" s="54"/>
      <c r="N351" s="54"/>
      <c r="O351" s="54" t="s">
        <v>931</v>
      </c>
      <c r="P351" s="66"/>
      <c r="Q351" s="54">
        <v>0.87</v>
      </c>
      <c r="R351" s="66">
        <f>+Q351</f>
        <v>0.87</v>
      </c>
      <c r="S351" s="66"/>
      <c r="T351" s="66"/>
      <c r="U351" s="66"/>
      <c r="V351" s="66"/>
      <c r="W351" s="54">
        <v>134.9</v>
      </c>
      <c r="X351" s="66">
        <f t="shared" si="17"/>
        <v>0.87</v>
      </c>
      <c r="Y351" s="206">
        <f>+W351</f>
        <v>134.9</v>
      </c>
      <c r="Z351" s="192" t="str">
        <f t="shared" si="18"/>
        <v>S</v>
      </c>
      <c r="AA351" s="66"/>
      <c r="AB351" s="66"/>
      <c r="AC351" s="66"/>
      <c r="AD351" s="172"/>
      <c r="AE351" s="172"/>
      <c r="AF351" s="172"/>
      <c r="AG351" s="172"/>
      <c r="AH351" s="172"/>
      <c r="AI351" s="172"/>
      <c r="AJ351" s="172"/>
      <c r="AK351" s="172"/>
      <c r="AL351" s="172"/>
    </row>
    <row r="352" spans="1:38" s="45" customFormat="1">
      <c r="A352" s="66"/>
      <c r="B352" s="73" t="s">
        <v>766</v>
      </c>
      <c r="C352" s="54">
        <v>2013</v>
      </c>
      <c r="D352" s="66"/>
      <c r="E352" s="56" t="s">
        <v>172</v>
      </c>
      <c r="F352" s="54">
        <v>2011</v>
      </c>
      <c r="G352" s="54" t="s">
        <v>631</v>
      </c>
      <c r="H352" s="66" t="s">
        <v>159</v>
      </c>
      <c r="I352" s="66" t="s">
        <v>1014</v>
      </c>
      <c r="J352" s="74" t="s">
        <v>1013</v>
      </c>
      <c r="K352" s="54" t="s">
        <v>1091</v>
      </c>
      <c r="L352" s="54" t="s">
        <v>974</v>
      </c>
      <c r="M352" s="66"/>
      <c r="N352" s="66"/>
      <c r="O352" s="66" t="s">
        <v>972</v>
      </c>
      <c r="P352" s="66"/>
      <c r="Q352" s="66"/>
      <c r="R352" s="66"/>
      <c r="S352" s="66"/>
      <c r="T352" s="66"/>
      <c r="U352" s="54">
        <v>0.86899999999999999</v>
      </c>
      <c r="V352" s="66"/>
      <c r="W352" s="66"/>
      <c r="X352" s="66">
        <f t="shared" si="17"/>
        <v>0.86899999999999999</v>
      </c>
      <c r="Y352" s="71">
        <v>150.9</v>
      </c>
      <c r="Z352" s="192" t="str">
        <f t="shared" si="18"/>
        <v>S</v>
      </c>
      <c r="AA352" s="66"/>
      <c r="AB352" s="66"/>
      <c r="AC352" s="66"/>
      <c r="AD352" s="172"/>
      <c r="AE352" s="172"/>
      <c r="AF352" s="172"/>
      <c r="AG352" s="172"/>
      <c r="AH352" s="172"/>
      <c r="AI352" s="172"/>
      <c r="AJ352" s="172"/>
      <c r="AK352" s="172"/>
      <c r="AL352" s="172"/>
    </row>
    <row r="353" spans="1:38" s="45" customFormat="1">
      <c r="A353" s="66"/>
      <c r="B353" s="73" t="s">
        <v>766</v>
      </c>
      <c r="C353" s="54">
        <v>2013</v>
      </c>
      <c r="D353" s="66"/>
      <c r="E353" s="56" t="s">
        <v>172</v>
      </c>
      <c r="F353" s="54">
        <v>2011</v>
      </c>
      <c r="G353" s="54" t="s">
        <v>631</v>
      </c>
      <c r="H353" s="66" t="s">
        <v>159</v>
      </c>
      <c r="I353" s="66" t="s">
        <v>1014</v>
      </c>
      <c r="J353" s="74" t="s">
        <v>1013</v>
      </c>
      <c r="K353" s="54" t="s">
        <v>1091</v>
      </c>
      <c r="L353" s="54" t="s">
        <v>978</v>
      </c>
      <c r="M353" s="66"/>
      <c r="N353" s="66"/>
      <c r="O353" s="66" t="s">
        <v>977</v>
      </c>
      <c r="P353" s="66"/>
      <c r="Q353" s="66"/>
      <c r="R353" s="66"/>
      <c r="S353" s="66"/>
      <c r="T353" s="66"/>
      <c r="U353" s="54">
        <v>0.86899999999999999</v>
      </c>
      <c r="V353" s="66"/>
      <c r="W353" s="66"/>
      <c r="X353" s="66">
        <f t="shared" si="17"/>
        <v>0.86899999999999999</v>
      </c>
      <c r="Y353" s="71">
        <v>150.80000000000001</v>
      </c>
      <c r="Z353" s="192" t="str">
        <f t="shared" si="18"/>
        <v>S</v>
      </c>
      <c r="AA353" s="66"/>
      <c r="AB353" s="66"/>
      <c r="AC353" s="66"/>
      <c r="AD353" s="172"/>
      <c r="AE353" s="172"/>
      <c r="AF353" s="172"/>
      <c r="AG353" s="172"/>
      <c r="AH353" s="172"/>
      <c r="AI353" s="172"/>
      <c r="AJ353" s="172"/>
      <c r="AK353" s="172"/>
      <c r="AL353" s="172"/>
    </row>
    <row r="354" spans="1:38" s="45" customFormat="1">
      <c r="A354" s="66"/>
      <c r="B354" s="73" t="s">
        <v>766</v>
      </c>
      <c r="C354" s="54">
        <v>2013</v>
      </c>
      <c r="D354" s="66"/>
      <c r="E354" s="56" t="s">
        <v>172</v>
      </c>
      <c r="F354" s="54">
        <v>2011</v>
      </c>
      <c r="G354" s="54" t="s">
        <v>631</v>
      </c>
      <c r="H354" s="66" t="s">
        <v>159</v>
      </c>
      <c r="I354" s="66" t="s">
        <v>1014</v>
      </c>
      <c r="J354" s="74" t="s">
        <v>1013</v>
      </c>
      <c r="K354" s="54" t="s">
        <v>1091</v>
      </c>
      <c r="L354" s="54" t="s">
        <v>978</v>
      </c>
      <c r="M354" s="66"/>
      <c r="N354" s="66"/>
      <c r="O354" s="66" t="s">
        <v>977</v>
      </c>
      <c r="P354" s="66"/>
      <c r="Q354" s="66"/>
      <c r="R354" s="66"/>
      <c r="S354" s="66"/>
      <c r="T354" s="66"/>
      <c r="U354" s="54">
        <v>0.86599999999999999</v>
      </c>
      <c r="V354" s="66"/>
      <c r="W354" s="66"/>
      <c r="X354" s="66">
        <f t="shared" si="17"/>
        <v>0.86599999999999999</v>
      </c>
      <c r="Y354" s="71">
        <v>154.6</v>
      </c>
      <c r="Z354" s="192" t="str">
        <f t="shared" si="18"/>
        <v>S</v>
      </c>
      <c r="AA354" s="66"/>
      <c r="AB354" s="66"/>
      <c r="AC354" s="66"/>
      <c r="AD354" s="172"/>
      <c r="AE354" s="172"/>
      <c r="AF354" s="172"/>
      <c r="AG354" s="172"/>
      <c r="AH354" s="172"/>
      <c r="AI354" s="172"/>
      <c r="AJ354" s="172"/>
      <c r="AK354" s="172"/>
      <c r="AL354" s="172"/>
    </row>
    <row r="355" spans="1:38" s="45" customFormat="1">
      <c r="A355" s="66"/>
      <c r="B355" s="73" t="s">
        <v>766</v>
      </c>
      <c r="C355" s="54">
        <v>2013</v>
      </c>
      <c r="D355" s="66"/>
      <c r="E355" s="56" t="s">
        <v>172</v>
      </c>
      <c r="F355" s="54">
        <v>2011</v>
      </c>
      <c r="G355" s="54" t="s">
        <v>631</v>
      </c>
      <c r="H355" s="66" t="s">
        <v>159</v>
      </c>
      <c r="I355" s="66" t="s">
        <v>1014</v>
      </c>
      <c r="J355" s="74" t="s">
        <v>1013</v>
      </c>
      <c r="K355" s="54" t="s">
        <v>1091</v>
      </c>
      <c r="L355" s="54" t="s">
        <v>975</v>
      </c>
      <c r="M355" s="66"/>
      <c r="N355" s="66"/>
      <c r="O355" s="66" t="s">
        <v>976</v>
      </c>
      <c r="P355" s="66"/>
      <c r="Q355" s="66"/>
      <c r="R355" s="66"/>
      <c r="S355" s="66"/>
      <c r="T355" s="66"/>
      <c r="U355" s="54">
        <v>0.86599999999999999</v>
      </c>
      <c r="V355" s="66"/>
      <c r="W355" s="66"/>
      <c r="X355" s="66">
        <f t="shared" si="17"/>
        <v>0.86599999999999999</v>
      </c>
      <c r="Y355" s="71">
        <v>154.19999999999999</v>
      </c>
      <c r="Z355" s="192" t="str">
        <f t="shared" si="18"/>
        <v>S</v>
      </c>
      <c r="AA355" s="66"/>
      <c r="AB355" s="66"/>
      <c r="AC355" s="66"/>
      <c r="AD355" s="172"/>
      <c r="AE355" s="172"/>
      <c r="AF355" s="172"/>
      <c r="AG355" s="172"/>
      <c r="AH355" s="172"/>
      <c r="AI355" s="172"/>
      <c r="AJ355" s="172"/>
      <c r="AK355" s="172"/>
      <c r="AL355" s="172"/>
    </row>
    <row r="356" spans="1:38" s="45" customFormat="1">
      <c r="A356" s="66"/>
      <c r="B356" s="73" t="s">
        <v>766</v>
      </c>
      <c r="C356" s="54">
        <v>2013</v>
      </c>
      <c r="D356" s="66"/>
      <c r="E356" s="56" t="s">
        <v>172</v>
      </c>
      <c r="F356" s="54">
        <v>2011</v>
      </c>
      <c r="G356" s="54" t="s">
        <v>631</v>
      </c>
      <c r="H356" s="66" t="s">
        <v>159</v>
      </c>
      <c r="I356" s="66" t="s">
        <v>1014</v>
      </c>
      <c r="J356" s="74" t="s">
        <v>1013</v>
      </c>
      <c r="K356" s="54" t="s">
        <v>1091</v>
      </c>
      <c r="L356" s="54" t="s">
        <v>978</v>
      </c>
      <c r="M356" s="66"/>
      <c r="N356" s="66"/>
      <c r="O356" s="66" t="s">
        <v>977</v>
      </c>
      <c r="P356" s="66"/>
      <c r="Q356" s="66"/>
      <c r="R356" s="66"/>
      <c r="S356" s="66"/>
      <c r="T356" s="66"/>
      <c r="U356" s="54">
        <v>0.86499999999999999</v>
      </c>
      <c r="V356" s="66"/>
      <c r="W356" s="66"/>
      <c r="X356" s="66">
        <f t="shared" si="17"/>
        <v>0.86499999999999999</v>
      </c>
      <c r="Y356" s="71">
        <v>155.1</v>
      </c>
      <c r="Z356" s="192" t="str">
        <f t="shared" si="18"/>
        <v>S</v>
      </c>
      <c r="AA356" s="66"/>
      <c r="AB356" s="66"/>
      <c r="AC356" s="66"/>
      <c r="AD356" s="172"/>
      <c r="AE356" s="172"/>
      <c r="AF356" s="172"/>
      <c r="AG356" s="172"/>
      <c r="AH356" s="172"/>
      <c r="AI356" s="172"/>
      <c r="AJ356" s="172"/>
      <c r="AK356" s="172"/>
      <c r="AL356" s="172"/>
    </row>
    <row r="357" spans="1:38" s="45" customFormat="1">
      <c r="A357" s="66"/>
      <c r="B357" s="73" t="s">
        <v>766</v>
      </c>
      <c r="C357" s="54">
        <v>2013</v>
      </c>
      <c r="D357" s="66"/>
      <c r="E357" s="56" t="s">
        <v>172</v>
      </c>
      <c r="F357" s="54">
        <v>2011</v>
      </c>
      <c r="G357" s="54" t="s">
        <v>631</v>
      </c>
      <c r="H357" s="66" t="s">
        <v>159</v>
      </c>
      <c r="I357" s="66" t="s">
        <v>1014</v>
      </c>
      <c r="J357" s="74" t="s">
        <v>1013</v>
      </c>
      <c r="K357" s="54" t="s">
        <v>1091</v>
      </c>
      <c r="L357" s="54" t="s">
        <v>978</v>
      </c>
      <c r="M357" s="66"/>
      <c r="N357" s="66"/>
      <c r="O357" s="66" t="s">
        <v>977</v>
      </c>
      <c r="P357" s="66"/>
      <c r="Q357" s="66"/>
      <c r="R357" s="66"/>
      <c r="S357" s="66"/>
      <c r="T357" s="66"/>
      <c r="U357" s="54">
        <v>0.86399999999999999</v>
      </c>
      <c r="V357" s="66"/>
      <c r="W357" s="66"/>
      <c r="X357" s="66">
        <f t="shared" si="17"/>
        <v>0.86399999999999999</v>
      </c>
      <c r="Y357" s="71">
        <v>157</v>
      </c>
      <c r="Z357" s="192" t="str">
        <f t="shared" si="18"/>
        <v>S</v>
      </c>
      <c r="AA357" s="66"/>
      <c r="AB357" s="66"/>
      <c r="AC357" s="66"/>
      <c r="AD357" s="172"/>
      <c r="AE357" s="172"/>
      <c r="AF357" s="172"/>
      <c r="AG357" s="172"/>
      <c r="AH357" s="172"/>
      <c r="AI357" s="172"/>
      <c r="AJ357" s="172"/>
      <c r="AK357" s="172"/>
      <c r="AL357" s="172"/>
    </row>
    <row r="358" spans="1:38" s="45" customFormat="1">
      <c r="A358" s="66"/>
      <c r="B358" s="73" t="s">
        <v>766</v>
      </c>
      <c r="C358" s="54">
        <v>2013</v>
      </c>
      <c r="D358" s="66"/>
      <c r="E358" s="56" t="s">
        <v>172</v>
      </c>
      <c r="F358" s="54">
        <v>2011</v>
      </c>
      <c r="G358" s="54" t="s">
        <v>631</v>
      </c>
      <c r="H358" s="66" t="s">
        <v>159</v>
      </c>
      <c r="I358" s="66" t="s">
        <v>1014</v>
      </c>
      <c r="J358" s="74" t="s">
        <v>1013</v>
      </c>
      <c r="K358" s="54" t="s">
        <v>1091</v>
      </c>
      <c r="L358" s="54" t="s">
        <v>978</v>
      </c>
      <c r="M358" s="66"/>
      <c r="N358" s="66"/>
      <c r="O358" s="66" t="s">
        <v>977</v>
      </c>
      <c r="P358" s="66"/>
      <c r="Q358" s="66"/>
      <c r="R358" s="66"/>
      <c r="S358" s="66"/>
      <c r="T358" s="66"/>
      <c r="U358" s="54">
        <v>0.86299999999999999</v>
      </c>
      <c r="V358" s="66"/>
      <c r="W358" s="66"/>
      <c r="X358" s="66">
        <f t="shared" si="17"/>
        <v>0.86299999999999999</v>
      </c>
      <c r="Y358" s="71">
        <v>158.4</v>
      </c>
      <c r="Z358" s="192" t="str">
        <f t="shared" si="18"/>
        <v>S</v>
      </c>
      <c r="AA358" s="66"/>
      <c r="AB358" s="66"/>
      <c r="AC358" s="66"/>
      <c r="AD358" s="172"/>
      <c r="AE358" s="172"/>
      <c r="AF358" s="172"/>
      <c r="AG358" s="172"/>
      <c r="AH358" s="172"/>
      <c r="AI358" s="172"/>
      <c r="AJ358" s="172"/>
      <c r="AK358" s="172"/>
      <c r="AL358" s="172"/>
    </row>
    <row r="359" spans="1:38" s="45" customFormat="1">
      <c r="A359" s="66"/>
      <c r="B359" s="73" t="s">
        <v>766</v>
      </c>
      <c r="C359" s="54">
        <v>2013</v>
      </c>
      <c r="D359" s="66"/>
      <c r="E359" s="56" t="s">
        <v>172</v>
      </c>
      <c r="F359" s="54">
        <v>2011</v>
      </c>
      <c r="G359" s="54" t="s">
        <v>631</v>
      </c>
      <c r="H359" s="66" t="s">
        <v>159</v>
      </c>
      <c r="I359" s="66" t="s">
        <v>1014</v>
      </c>
      <c r="J359" s="74" t="s">
        <v>1013</v>
      </c>
      <c r="K359" s="54" t="s">
        <v>1091</v>
      </c>
      <c r="L359" s="54" t="s">
        <v>978</v>
      </c>
      <c r="M359" s="66"/>
      <c r="N359" s="66"/>
      <c r="O359" s="66" t="s">
        <v>977</v>
      </c>
      <c r="P359" s="66"/>
      <c r="Q359" s="66"/>
      <c r="R359" s="66"/>
      <c r="S359" s="66"/>
      <c r="T359" s="66"/>
      <c r="U359" s="54">
        <v>0.86299999999999999</v>
      </c>
      <c r="V359" s="66"/>
      <c r="W359" s="66"/>
      <c r="X359" s="66">
        <f t="shared" si="17"/>
        <v>0.86299999999999999</v>
      </c>
      <c r="Y359" s="71">
        <v>158.30000000000001</v>
      </c>
      <c r="Z359" s="192" t="str">
        <f t="shared" si="18"/>
        <v>S</v>
      </c>
      <c r="AA359" s="66"/>
      <c r="AB359" s="66"/>
      <c r="AC359" s="66"/>
      <c r="AD359" s="172"/>
      <c r="AE359" s="172"/>
      <c r="AF359" s="172"/>
      <c r="AG359" s="172"/>
      <c r="AH359" s="172"/>
      <c r="AI359" s="172"/>
      <c r="AJ359" s="172"/>
      <c r="AK359" s="172"/>
      <c r="AL359" s="172"/>
    </row>
    <row r="360" spans="1:38" s="45" customFormat="1">
      <c r="A360" s="53">
        <v>101</v>
      </c>
      <c r="B360" s="73" t="s">
        <v>298</v>
      </c>
      <c r="C360" s="54">
        <v>1994</v>
      </c>
      <c r="D360" s="73" t="s">
        <v>299</v>
      </c>
      <c r="E360" s="56" t="s">
        <v>172</v>
      </c>
      <c r="F360" s="54">
        <v>1994</v>
      </c>
      <c r="G360" s="54" t="s">
        <v>301</v>
      </c>
      <c r="H360" s="54" t="s">
        <v>302</v>
      </c>
      <c r="I360" s="54" t="s">
        <v>1014</v>
      </c>
      <c r="J360" s="54" t="s">
        <v>1013</v>
      </c>
      <c r="K360" s="54"/>
      <c r="L360" s="54" t="s">
        <v>303</v>
      </c>
      <c r="M360" s="54"/>
      <c r="N360" s="54"/>
      <c r="O360" s="54" t="s">
        <v>309</v>
      </c>
      <c r="P360" s="54"/>
      <c r="Q360" s="54"/>
      <c r="R360" s="54"/>
      <c r="S360" s="54"/>
      <c r="T360" s="54"/>
      <c r="U360" s="54">
        <v>0.86</v>
      </c>
      <c r="V360" s="54"/>
      <c r="W360" s="54"/>
      <c r="X360" s="66">
        <f t="shared" si="17"/>
        <v>0.86</v>
      </c>
      <c r="Y360" s="71">
        <v>158</v>
      </c>
      <c r="Z360" s="192" t="str">
        <f t="shared" si="18"/>
        <v>S</v>
      </c>
      <c r="AA360" s="66"/>
      <c r="AB360" s="66"/>
      <c r="AC360" s="66"/>
      <c r="AD360" s="172"/>
      <c r="AE360" s="172"/>
      <c r="AF360" s="172"/>
      <c r="AG360" s="172"/>
      <c r="AH360" s="172"/>
      <c r="AI360" s="172"/>
      <c r="AJ360" s="172"/>
      <c r="AK360" s="172"/>
      <c r="AL360" s="172"/>
    </row>
    <row r="361" spans="1:38" s="45" customFormat="1">
      <c r="A361" s="53"/>
      <c r="B361" s="290" t="s">
        <v>1276</v>
      </c>
      <c r="C361" s="291">
        <v>1989</v>
      </c>
      <c r="D361" s="66"/>
      <c r="E361" s="60" t="s">
        <v>49</v>
      </c>
      <c r="F361" s="54"/>
      <c r="G361" s="54"/>
      <c r="H361" s="54"/>
      <c r="I361" s="54"/>
      <c r="J361" s="294" t="s">
        <v>1013</v>
      </c>
      <c r="K361" s="294" t="s">
        <v>1257</v>
      </c>
      <c r="L361" s="39"/>
      <c r="O361" t="s">
        <v>1271</v>
      </c>
      <c r="R361">
        <v>0.85399999999999998</v>
      </c>
      <c r="S361"/>
      <c r="U361" s="54"/>
      <c r="V361" s="54"/>
      <c r="W361" s="54"/>
      <c r="X361" s="66">
        <f t="shared" si="17"/>
        <v>0.85399999999999998</v>
      </c>
      <c r="Y361">
        <v>109</v>
      </c>
      <c r="Z361" s="192" t="str">
        <f t="shared" si="18"/>
        <v>S</v>
      </c>
      <c r="AA361" s="66"/>
      <c r="AB361" s="66"/>
      <c r="AC361" s="66"/>
      <c r="AD361" s="172"/>
      <c r="AE361" s="172"/>
      <c r="AF361" s="172"/>
      <c r="AG361" s="172"/>
      <c r="AH361" s="172"/>
      <c r="AI361" s="172"/>
      <c r="AJ361" s="172"/>
      <c r="AK361" s="172"/>
      <c r="AL361" s="172"/>
    </row>
    <row r="362" spans="1:38" s="45" customFormat="1">
      <c r="A362" s="53"/>
      <c r="B362" s="290" t="s">
        <v>1276</v>
      </c>
      <c r="C362" s="291">
        <v>1989</v>
      </c>
      <c r="D362" s="66"/>
      <c r="E362" s="60" t="s">
        <v>49</v>
      </c>
      <c r="F362" s="54"/>
      <c r="G362" s="54"/>
      <c r="H362" s="54"/>
      <c r="I362" s="54"/>
      <c r="J362" s="294" t="s">
        <v>1013</v>
      </c>
      <c r="K362" s="294" t="s">
        <v>1002</v>
      </c>
      <c r="L362" s="163"/>
      <c r="M362" s="54"/>
      <c r="N362" s="54"/>
      <c r="O362" t="s">
        <v>1250</v>
      </c>
      <c r="P362" s="54"/>
      <c r="Q362" s="54"/>
      <c r="R362">
        <v>0.85</v>
      </c>
      <c r="S362" s="54"/>
      <c r="T362" s="54"/>
      <c r="U362" s="54"/>
      <c r="V362" s="54"/>
      <c r="W362" s="54"/>
      <c r="X362" s="66">
        <f t="shared" si="17"/>
        <v>0.85</v>
      </c>
      <c r="Y362">
        <v>142</v>
      </c>
      <c r="Z362" s="192" t="str">
        <f t="shared" si="18"/>
        <v>S</v>
      </c>
      <c r="AA362" s="66"/>
      <c r="AB362" s="66"/>
      <c r="AC362" s="66"/>
      <c r="AD362" s="172"/>
      <c r="AE362" s="172"/>
      <c r="AF362" s="172"/>
      <c r="AG362" s="172"/>
      <c r="AH362" s="172"/>
      <c r="AI362" s="172"/>
      <c r="AJ362" s="172"/>
      <c r="AK362" s="172"/>
      <c r="AL362" s="172"/>
    </row>
    <row r="363" spans="1:38" s="45" customFormat="1">
      <c r="A363" s="53">
        <v>46</v>
      </c>
      <c r="B363" s="60" t="s">
        <v>45</v>
      </c>
      <c r="C363" s="60">
        <v>1984</v>
      </c>
      <c r="D363" s="60" t="s">
        <v>113</v>
      </c>
      <c r="E363" s="56" t="s">
        <v>49</v>
      </c>
      <c r="F363" s="54">
        <v>1983</v>
      </c>
      <c r="G363" s="54" t="s">
        <v>116</v>
      </c>
      <c r="H363" s="54" t="s">
        <v>95</v>
      </c>
      <c r="I363" s="54"/>
      <c r="J363" s="54" t="s">
        <v>1013</v>
      </c>
      <c r="K363" s="54" t="s">
        <v>1134</v>
      </c>
      <c r="L363" s="54" t="s">
        <v>117</v>
      </c>
      <c r="M363" s="54"/>
      <c r="N363" s="54"/>
      <c r="O363" s="54" t="s">
        <v>128</v>
      </c>
      <c r="P363" s="54"/>
      <c r="Q363" s="54">
        <v>0.85</v>
      </c>
      <c r="R363" s="54">
        <f>+Q363</f>
        <v>0.85</v>
      </c>
      <c r="S363" s="54"/>
      <c r="T363" s="54"/>
      <c r="U363" s="54"/>
      <c r="V363" s="54"/>
      <c r="W363" s="54"/>
      <c r="X363" s="66">
        <f t="shared" si="17"/>
        <v>0.85</v>
      </c>
      <c r="Y363" s="71">
        <v>130</v>
      </c>
      <c r="Z363" s="192" t="str">
        <f t="shared" si="18"/>
        <v>S</v>
      </c>
      <c r="AA363" s="66"/>
      <c r="AB363" s="66"/>
      <c r="AC363" s="66"/>
      <c r="AD363" s="172"/>
      <c r="AE363" s="172"/>
      <c r="AF363" s="172"/>
      <c r="AG363" s="172"/>
      <c r="AH363" s="172"/>
      <c r="AI363" s="172"/>
      <c r="AJ363" s="172"/>
      <c r="AK363" s="172"/>
      <c r="AL363" s="172"/>
    </row>
    <row r="364" spans="1:38" s="45" customFormat="1">
      <c r="A364" s="66"/>
      <c r="B364" s="73" t="s">
        <v>766</v>
      </c>
      <c r="C364" s="54">
        <v>2013</v>
      </c>
      <c r="D364" s="66"/>
      <c r="E364" s="56" t="s">
        <v>172</v>
      </c>
      <c r="F364" s="54">
        <v>2011</v>
      </c>
      <c r="G364" s="54" t="s">
        <v>631</v>
      </c>
      <c r="H364" s="66" t="s">
        <v>159</v>
      </c>
      <c r="I364" s="66" t="s">
        <v>1014</v>
      </c>
      <c r="J364" s="74" t="s">
        <v>1013</v>
      </c>
      <c r="K364" s="54" t="s">
        <v>1091</v>
      </c>
      <c r="L364" s="54" t="s">
        <v>974</v>
      </c>
      <c r="M364" s="66"/>
      <c r="N364" s="66"/>
      <c r="O364" s="66" t="s">
        <v>972</v>
      </c>
      <c r="P364" s="66"/>
      <c r="Q364" s="66"/>
      <c r="R364" s="66"/>
      <c r="S364" s="66"/>
      <c r="T364" s="66"/>
      <c r="U364" s="54">
        <v>0.84899999999999998</v>
      </c>
      <c r="V364" s="66"/>
      <c r="W364" s="66"/>
      <c r="X364" s="66">
        <f t="shared" si="17"/>
        <v>0.84899999999999998</v>
      </c>
      <c r="Y364" s="71">
        <v>173</v>
      </c>
      <c r="Z364" s="192" t="str">
        <f t="shared" ref="Z364:Z395" si="19">IF(X364&lt;&gt;"",IF(X364&lt;0.9,"S","F"),"")</f>
        <v>S</v>
      </c>
      <c r="AA364" s="66"/>
      <c r="AB364" s="66"/>
      <c r="AC364" s="66"/>
      <c r="AD364" s="172"/>
      <c r="AE364" s="172"/>
      <c r="AF364" s="172"/>
      <c r="AG364" s="172"/>
      <c r="AH364" s="172"/>
      <c r="AI364" s="172"/>
      <c r="AJ364" s="172"/>
      <c r="AK364" s="172"/>
      <c r="AL364" s="172"/>
    </row>
    <row r="365" spans="1:38" s="45" customFormat="1">
      <c r="A365" s="53"/>
      <c r="B365" s="290" t="s">
        <v>1276</v>
      </c>
      <c r="C365" s="291">
        <v>1989</v>
      </c>
      <c r="D365" s="66"/>
      <c r="E365" s="60" t="s">
        <v>49</v>
      </c>
      <c r="F365" s="54"/>
      <c r="G365" s="54"/>
      <c r="H365" s="54"/>
      <c r="I365" s="54"/>
      <c r="J365" s="294" t="s">
        <v>1013</v>
      </c>
      <c r="K365" s="294" t="s">
        <v>1257</v>
      </c>
      <c r="L365" s="39"/>
      <c r="O365" t="s">
        <v>1275</v>
      </c>
      <c r="R365">
        <v>0.84699999999999998</v>
      </c>
      <c r="S365"/>
      <c r="U365" s="54"/>
      <c r="V365" s="54"/>
      <c r="W365" s="54"/>
      <c r="X365" s="66">
        <f t="shared" si="17"/>
        <v>0.84699999999999998</v>
      </c>
      <c r="Y365">
        <v>116</v>
      </c>
      <c r="Z365" s="192" t="str">
        <f t="shared" si="19"/>
        <v>S</v>
      </c>
      <c r="AA365" s="66"/>
      <c r="AB365" s="66"/>
      <c r="AC365" s="66"/>
      <c r="AD365" s="172"/>
      <c r="AE365" s="172"/>
      <c r="AF365" s="172"/>
      <c r="AG365" s="172"/>
      <c r="AH365" s="172"/>
      <c r="AI365" s="172"/>
      <c r="AJ365" s="172"/>
      <c r="AK365" s="172"/>
      <c r="AL365" s="172"/>
    </row>
    <row r="366" spans="1:38" s="45" customFormat="1">
      <c r="A366" s="53"/>
      <c r="B366" s="290" t="s">
        <v>1276</v>
      </c>
      <c r="C366" s="291">
        <v>1989</v>
      </c>
      <c r="D366" s="66"/>
      <c r="E366" s="60" t="s">
        <v>49</v>
      </c>
      <c r="F366" s="54"/>
      <c r="G366" s="54"/>
      <c r="H366" s="54"/>
      <c r="I366" s="54"/>
      <c r="J366" s="294" t="s">
        <v>1013</v>
      </c>
      <c r="K366" s="294" t="s">
        <v>1002</v>
      </c>
      <c r="L366" s="163"/>
      <c r="M366" s="54"/>
      <c r="N366" s="54"/>
      <c r="O366" t="s">
        <v>1255</v>
      </c>
      <c r="P366" s="54"/>
      <c r="Q366" s="54"/>
      <c r="R366">
        <v>0.84599999999999997</v>
      </c>
      <c r="S366" s="54"/>
      <c r="T366" s="54"/>
      <c r="U366" s="54"/>
      <c r="V366" s="54"/>
      <c r="W366" s="54"/>
      <c r="X366" s="66">
        <f t="shared" si="17"/>
        <v>0.84599999999999997</v>
      </c>
      <c r="Y366">
        <v>151</v>
      </c>
      <c r="Z366" s="192" t="str">
        <f t="shared" si="19"/>
        <v>S</v>
      </c>
      <c r="AA366" s="66"/>
      <c r="AB366" s="66"/>
      <c r="AC366" s="66"/>
      <c r="AD366" s="172"/>
      <c r="AE366" s="172"/>
      <c r="AF366" s="172"/>
      <c r="AG366" s="172"/>
      <c r="AH366" s="172"/>
      <c r="AI366" s="172"/>
      <c r="AJ366" s="172"/>
      <c r="AK366" s="172"/>
      <c r="AL366" s="172"/>
    </row>
    <row r="367" spans="1:38" s="45" customFormat="1">
      <c r="A367" s="66"/>
      <c r="B367" s="73" t="s">
        <v>766</v>
      </c>
      <c r="C367" s="54">
        <v>2013</v>
      </c>
      <c r="D367" s="66"/>
      <c r="E367" s="56" t="s">
        <v>172</v>
      </c>
      <c r="F367" s="54">
        <v>2011</v>
      </c>
      <c r="G367" s="54" t="s">
        <v>631</v>
      </c>
      <c r="H367" s="66" t="s">
        <v>159</v>
      </c>
      <c r="I367" s="66" t="s">
        <v>1014</v>
      </c>
      <c r="J367" s="74" t="s">
        <v>1013</v>
      </c>
      <c r="K367" s="54" t="s">
        <v>1091</v>
      </c>
      <c r="L367" s="54" t="s">
        <v>974</v>
      </c>
      <c r="M367" s="66"/>
      <c r="N367" s="66"/>
      <c r="O367" s="66" t="s">
        <v>972</v>
      </c>
      <c r="P367" s="66"/>
      <c r="Q367" s="66"/>
      <c r="R367" s="66"/>
      <c r="S367" s="66"/>
      <c r="T367" s="66"/>
      <c r="U367" s="54">
        <v>0.84499999999999997</v>
      </c>
      <c r="V367" s="66"/>
      <c r="W367" s="66"/>
      <c r="X367" s="66">
        <f t="shared" si="17"/>
        <v>0.84499999999999997</v>
      </c>
      <c r="Y367" s="71">
        <v>178.7</v>
      </c>
      <c r="Z367" s="192" t="str">
        <f t="shared" si="19"/>
        <v>S</v>
      </c>
      <c r="AA367" s="66"/>
      <c r="AB367" s="66"/>
      <c r="AC367" s="66"/>
      <c r="AD367" s="172"/>
      <c r="AE367" s="172"/>
      <c r="AF367" s="172"/>
      <c r="AG367" s="172"/>
      <c r="AH367" s="172"/>
      <c r="AI367" s="172"/>
      <c r="AJ367" s="172"/>
      <c r="AK367" s="172"/>
      <c r="AL367" s="172"/>
    </row>
    <row r="368" spans="1:38" s="45" customFormat="1">
      <c r="A368" s="53"/>
      <c r="B368" s="290" t="s">
        <v>1276</v>
      </c>
      <c r="C368" s="291">
        <v>1989</v>
      </c>
      <c r="D368" s="66"/>
      <c r="E368" s="60" t="s">
        <v>49</v>
      </c>
      <c r="F368" s="54"/>
      <c r="G368" s="54"/>
      <c r="H368" s="54"/>
      <c r="I368" s="54"/>
      <c r="J368" s="294" t="s">
        <v>1013</v>
      </c>
      <c r="K368" s="294" t="s">
        <v>1256</v>
      </c>
      <c r="L368" s="39"/>
      <c r="O368" t="s">
        <v>1264</v>
      </c>
      <c r="R368">
        <v>0.84199999999999997</v>
      </c>
      <c r="S368"/>
      <c r="U368" s="54"/>
      <c r="V368" s="54"/>
      <c r="W368" s="54"/>
      <c r="X368" s="66">
        <f t="shared" si="17"/>
        <v>0.84199999999999997</v>
      </c>
      <c r="Y368">
        <v>122</v>
      </c>
      <c r="Z368" s="192" t="str">
        <f t="shared" si="19"/>
        <v>S</v>
      </c>
      <c r="AA368" s="66"/>
      <c r="AB368" s="66"/>
      <c r="AC368" s="66"/>
      <c r="AD368" s="172"/>
      <c r="AE368" s="172"/>
      <c r="AF368" s="172"/>
      <c r="AG368" s="172"/>
      <c r="AH368" s="172"/>
      <c r="AI368" s="172"/>
      <c r="AJ368" s="172"/>
      <c r="AK368" s="172"/>
      <c r="AL368" s="172"/>
    </row>
    <row r="369" spans="1:38" s="45" customFormat="1">
      <c r="A369" s="53"/>
      <c r="B369" s="290" t="s">
        <v>1276</v>
      </c>
      <c r="C369" s="291">
        <v>1989</v>
      </c>
      <c r="D369" s="66"/>
      <c r="E369" s="60" t="s">
        <v>49</v>
      </c>
      <c r="F369" s="54"/>
      <c r="G369" s="54"/>
      <c r="H369" s="54"/>
      <c r="I369" s="54"/>
      <c r="J369" s="294" t="s">
        <v>1013</v>
      </c>
      <c r="K369" s="294" t="s">
        <v>1002</v>
      </c>
      <c r="L369" s="163"/>
      <c r="M369" s="54"/>
      <c r="N369" s="54"/>
      <c r="O369" t="s">
        <v>1252</v>
      </c>
      <c r="P369" s="54"/>
      <c r="Q369" s="54"/>
      <c r="R369">
        <v>0.84099999999999997</v>
      </c>
      <c r="S369" s="54"/>
      <c r="T369" s="54"/>
      <c r="U369" s="54"/>
      <c r="V369" s="54"/>
      <c r="W369" s="54"/>
      <c r="X369" s="66">
        <f t="shared" si="17"/>
        <v>0.84099999999999997</v>
      </c>
      <c r="Y369">
        <v>160</v>
      </c>
      <c r="Z369" s="192" t="str">
        <f t="shared" si="19"/>
        <v>S</v>
      </c>
      <c r="AA369" s="66"/>
      <c r="AB369" s="66"/>
      <c r="AC369" s="66"/>
      <c r="AD369" s="172"/>
      <c r="AE369" s="172"/>
      <c r="AF369" s="172"/>
      <c r="AG369" s="172"/>
      <c r="AH369" s="172"/>
      <c r="AI369" s="172"/>
      <c r="AJ369" s="172"/>
      <c r="AK369" s="172"/>
      <c r="AL369" s="172"/>
    </row>
    <row r="370" spans="1:38" s="45" customFormat="1">
      <c r="A370" s="53"/>
      <c r="B370" s="290" t="s">
        <v>1276</v>
      </c>
      <c r="C370" s="291">
        <v>1989</v>
      </c>
      <c r="D370" s="66"/>
      <c r="E370" s="60" t="s">
        <v>49</v>
      </c>
      <c r="F370" s="54"/>
      <c r="G370" s="54"/>
      <c r="H370" s="54"/>
      <c r="I370" s="54"/>
      <c r="J370" s="294" t="s">
        <v>1013</v>
      </c>
      <c r="K370" s="294" t="s">
        <v>1256</v>
      </c>
      <c r="L370" s="39"/>
      <c r="O370" t="s">
        <v>1262</v>
      </c>
      <c r="R370">
        <v>0.84099999999999997</v>
      </c>
      <c r="S370"/>
      <c r="U370" s="54"/>
      <c r="V370" s="54"/>
      <c r="W370" s="54"/>
      <c r="X370" s="66">
        <f t="shared" si="17"/>
        <v>0.84099999999999997</v>
      </c>
      <c r="Y370">
        <v>122</v>
      </c>
      <c r="Z370" s="192" t="str">
        <f t="shared" si="19"/>
        <v>S</v>
      </c>
      <c r="AA370" s="66"/>
      <c r="AB370" s="66"/>
      <c r="AC370" s="66"/>
      <c r="AD370" s="172"/>
      <c r="AE370" s="172"/>
      <c r="AF370" s="172"/>
      <c r="AG370" s="172"/>
      <c r="AH370" s="172"/>
      <c r="AI370" s="172"/>
      <c r="AJ370" s="172"/>
      <c r="AK370" s="172"/>
      <c r="AL370" s="172"/>
    </row>
    <row r="371" spans="1:38" s="45" customFormat="1">
      <c r="A371" s="53"/>
      <c r="B371" s="290" t="s">
        <v>1276</v>
      </c>
      <c r="C371" s="291">
        <v>1989</v>
      </c>
      <c r="D371" s="66"/>
      <c r="E371" s="60" t="s">
        <v>49</v>
      </c>
      <c r="F371" s="54"/>
      <c r="G371" s="54"/>
      <c r="H371" s="54"/>
      <c r="I371" s="54"/>
      <c r="J371" s="294" t="s">
        <v>1013</v>
      </c>
      <c r="K371" s="294" t="s">
        <v>1257</v>
      </c>
      <c r="L371" s="39"/>
      <c r="O371" t="s">
        <v>1273</v>
      </c>
      <c r="R371">
        <v>0.84099999999999997</v>
      </c>
      <c r="S371"/>
      <c r="U371" s="54"/>
      <c r="V371" s="54"/>
      <c r="W371" s="54"/>
      <c r="X371" s="66">
        <f t="shared" si="17"/>
        <v>0.84099999999999997</v>
      </c>
      <c r="Y371">
        <v>120</v>
      </c>
      <c r="Z371" s="192" t="str">
        <f t="shared" si="19"/>
        <v>S</v>
      </c>
      <c r="AA371" s="66"/>
      <c r="AB371" s="66"/>
      <c r="AC371" s="66"/>
      <c r="AD371" s="172"/>
      <c r="AE371" s="172"/>
      <c r="AF371" s="172"/>
      <c r="AG371" s="172"/>
      <c r="AH371" s="172"/>
      <c r="AI371" s="172"/>
      <c r="AJ371" s="172"/>
      <c r="AK371" s="172"/>
      <c r="AL371" s="172"/>
    </row>
    <row r="372" spans="1:38" s="45" customFormat="1">
      <c r="A372" s="53">
        <v>35</v>
      </c>
      <c r="B372" s="60" t="s">
        <v>45</v>
      </c>
      <c r="C372" s="60">
        <v>1982</v>
      </c>
      <c r="D372" s="60" t="s">
        <v>46</v>
      </c>
      <c r="E372" s="56" t="s">
        <v>49</v>
      </c>
      <c r="F372" s="54" t="s">
        <v>50</v>
      </c>
      <c r="G372" s="54" t="s">
        <v>51</v>
      </c>
      <c r="H372" s="54" t="s">
        <v>23</v>
      </c>
      <c r="I372" s="54"/>
      <c r="J372" s="54" t="s">
        <v>1013</v>
      </c>
      <c r="K372" s="54" t="s">
        <v>1134</v>
      </c>
      <c r="L372" s="54" t="s">
        <v>52</v>
      </c>
      <c r="M372" s="54"/>
      <c r="N372" s="54"/>
      <c r="O372" s="54" t="s">
        <v>67</v>
      </c>
      <c r="P372" s="54"/>
      <c r="Q372" s="54">
        <v>0.84</v>
      </c>
      <c r="R372" s="54">
        <f>+Q372</f>
        <v>0.84</v>
      </c>
      <c r="S372" s="54"/>
      <c r="T372" s="54"/>
      <c r="U372" s="54"/>
      <c r="V372" s="54"/>
      <c r="W372" s="54">
        <v>136</v>
      </c>
      <c r="X372" s="66">
        <f t="shared" si="17"/>
        <v>0.84</v>
      </c>
      <c r="Y372" s="71">
        <f>+W372</f>
        <v>136</v>
      </c>
      <c r="Z372" s="192" t="str">
        <f t="shared" si="19"/>
        <v>S</v>
      </c>
      <c r="AA372" s="66"/>
      <c r="AB372" s="66"/>
      <c r="AC372" s="66"/>
      <c r="AD372" s="172"/>
      <c r="AE372" s="172"/>
      <c r="AF372" s="172"/>
      <c r="AG372" s="172"/>
      <c r="AH372" s="172"/>
      <c r="AI372" s="172"/>
      <c r="AJ372" s="172"/>
      <c r="AK372" s="172"/>
      <c r="AL372" s="172"/>
    </row>
    <row r="373" spans="1:38" s="45" customFormat="1">
      <c r="A373" s="53">
        <v>35</v>
      </c>
      <c r="B373" s="60" t="s">
        <v>45</v>
      </c>
      <c r="C373" s="60">
        <v>1982</v>
      </c>
      <c r="D373" s="60" t="s">
        <v>46</v>
      </c>
      <c r="E373" s="56" t="s">
        <v>49</v>
      </c>
      <c r="F373" s="54" t="s">
        <v>50</v>
      </c>
      <c r="G373" s="54" t="s">
        <v>51</v>
      </c>
      <c r="H373" s="54" t="s">
        <v>23</v>
      </c>
      <c r="I373" s="54"/>
      <c r="J373" s="54" t="s">
        <v>1013</v>
      </c>
      <c r="K373" s="54" t="s">
        <v>1134</v>
      </c>
      <c r="L373" s="54" t="s">
        <v>52</v>
      </c>
      <c r="M373" s="54"/>
      <c r="N373" s="54"/>
      <c r="O373" s="54" t="s">
        <v>71</v>
      </c>
      <c r="P373" s="54">
        <v>0.84</v>
      </c>
      <c r="Q373" s="54"/>
      <c r="R373" s="54">
        <f>+P373</f>
        <v>0.84</v>
      </c>
      <c r="S373" s="54"/>
      <c r="T373" s="54"/>
      <c r="U373" s="54"/>
      <c r="V373" s="54">
        <v>127</v>
      </c>
      <c r="W373" s="54"/>
      <c r="X373" s="66">
        <f t="shared" si="17"/>
        <v>0.84</v>
      </c>
      <c r="Y373" s="71">
        <f>+V373</f>
        <v>127</v>
      </c>
      <c r="Z373" s="192" t="str">
        <f t="shared" si="19"/>
        <v>S</v>
      </c>
      <c r="AA373" s="66"/>
      <c r="AB373" s="66"/>
      <c r="AC373" s="66"/>
      <c r="AD373" s="172"/>
      <c r="AE373" s="172"/>
      <c r="AF373" s="172"/>
      <c r="AG373" s="172"/>
      <c r="AH373" s="172"/>
      <c r="AI373" s="172"/>
      <c r="AJ373" s="172"/>
      <c r="AK373" s="172"/>
      <c r="AL373" s="172"/>
    </row>
    <row r="374" spans="1:38" s="45" customFormat="1">
      <c r="A374" s="53"/>
      <c r="B374" s="290" t="s">
        <v>1276</v>
      </c>
      <c r="C374" s="291">
        <v>1989</v>
      </c>
      <c r="D374" s="66"/>
      <c r="E374" s="60" t="s">
        <v>49</v>
      </c>
      <c r="F374" s="54"/>
      <c r="G374" s="54"/>
      <c r="H374" s="54"/>
      <c r="I374" s="54"/>
      <c r="J374" s="294" t="s">
        <v>1013</v>
      </c>
      <c r="K374" s="294" t="s">
        <v>1256</v>
      </c>
      <c r="L374" s="39"/>
      <c r="O374" t="s">
        <v>1263</v>
      </c>
      <c r="R374">
        <v>0.83199999999999996</v>
      </c>
      <c r="S374"/>
      <c r="U374" s="54"/>
      <c r="V374" s="54"/>
      <c r="W374" s="54"/>
      <c r="X374" s="66">
        <f t="shared" si="17"/>
        <v>0.83199999999999996</v>
      </c>
      <c r="Y374">
        <v>107</v>
      </c>
      <c r="Z374" s="192" t="str">
        <f t="shared" si="19"/>
        <v>S</v>
      </c>
      <c r="AA374" s="66"/>
      <c r="AB374" s="66"/>
      <c r="AC374" s="66"/>
      <c r="AD374" s="172"/>
      <c r="AE374" s="172"/>
      <c r="AF374" s="172"/>
      <c r="AG374" s="172"/>
      <c r="AH374" s="172"/>
      <c r="AI374" s="172"/>
      <c r="AJ374" s="172"/>
      <c r="AK374" s="172"/>
      <c r="AL374" s="172"/>
    </row>
    <row r="375" spans="1:38" s="45" customFormat="1">
      <c r="A375" s="53"/>
      <c r="B375" s="290" t="s">
        <v>1276</v>
      </c>
      <c r="C375" s="291">
        <v>1989</v>
      </c>
      <c r="D375" s="66"/>
      <c r="E375" s="60" t="s">
        <v>49</v>
      </c>
      <c r="F375" s="54"/>
      <c r="G375" s="54"/>
      <c r="H375" s="54"/>
      <c r="I375" s="54"/>
      <c r="J375" s="294" t="s">
        <v>1013</v>
      </c>
      <c r="K375" s="294" t="s">
        <v>1002</v>
      </c>
      <c r="L375" s="163"/>
      <c r="M375" s="54"/>
      <c r="N375" s="54"/>
      <c r="O375" t="s">
        <v>1247</v>
      </c>
      <c r="P375" s="54"/>
      <c r="Q375" s="54"/>
      <c r="R375">
        <v>0.83</v>
      </c>
      <c r="S375" s="54"/>
      <c r="T375" s="54"/>
      <c r="U375" s="54"/>
      <c r="V375" s="54"/>
      <c r="W375" s="54"/>
      <c r="X375" s="66">
        <f t="shared" si="17"/>
        <v>0.83</v>
      </c>
      <c r="Y375">
        <v>169</v>
      </c>
      <c r="Z375" s="192" t="str">
        <f t="shared" si="19"/>
        <v>S</v>
      </c>
      <c r="AA375" s="66"/>
      <c r="AB375" s="66"/>
      <c r="AC375" s="66"/>
      <c r="AD375" s="172"/>
      <c r="AE375" s="172"/>
      <c r="AF375" s="172"/>
      <c r="AG375" s="172"/>
      <c r="AH375" s="172"/>
      <c r="AI375" s="172"/>
      <c r="AJ375" s="172"/>
      <c r="AK375" s="172"/>
      <c r="AL375" s="172"/>
    </row>
    <row r="376" spans="1:38" s="45" customFormat="1">
      <c r="A376" s="53"/>
      <c r="B376" s="290" t="s">
        <v>1276</v>
      </c>
      <c r="C376" s="291">
        <v>1989</v>
      </c>
      <c r="D376" s="66"/>
      <c r="E376" s="60" t="s">
        <v>49</v>
      </c>
      <c r="F376" s="54"/>
      <c r="G376" s="54"/>
      <c r="H376" s="54"/>
      <c r="I376" s="54"/>
      <c r="J376" s="294" t="s">
        <v>1013</v>
      </c>
      <c r="K376" s="294" t="s">
        <v>1002</v>
      </c>
      <c r="L376" s="163"/>
      <c r="M376" s="54"/>
      <c r="N376" s="54"/>
      <c r="O376" t="s">
        <v>1253</v>
      </c>
      <c r="P376" s="54"/>
      <c r="Q376" s="54"/>
      <c r="R376">
        <v>0.82199999999999995</v>
      </c>
      <c r="S376" s="54"/>
      <c r="T376" s="54"/>
      <c r="U376" s="54"/>
      <c r="V376" s="54"/>
      <c r="W376" s="54"/>
      <c r="X376" s="66">
        <f t="shared" si="17"/>
        <v>0.82199999999999995</v>
      </c>
      <c r="Y376">
        <v>176</v>
      </c>
      <c r="Z376" s="192" t="str">
        <f t="shared" si="19"/>
        <v>S</v>
      </c>
      <c r="AA376" s="66"/>
      <c r="AB376" s="66"/>
      <c r="AC376" s="66"/>
      <c r="AD376" s="172"/>
      <c r="AE376" s="172"/>
      <c r="AF376" s="172"/>
      <c r="AG376" s="172"/>
      <c r="AH376" s="172"/>
      <c r="AI376" s="172"/>
      <c r="AJ376" s="172"/>
      <c r="AK376" s="172"/>
      <c r="AL376" s="172"/>
    </row>
    <row r="377" spans="1:38" s="45" customFormat="1">
      <c r="A377" s="53"/>
      <c r="B377" s="290" t="s">
        <v>1276</v>
      </c>
      <c r="C377" s="291">
        <v>1989</v>
      </c>
      <c r="D377" s="66"/>
      <c r="E377" s="60" t="s">
        <v>49</v>
      </c>
      <c r="F377" s="54"/>
      <c r="G377" s="54"/>
      <c r="H377" s="54"/>
      <c r="I377" s="54"/>
      <c r="J377" s="294" t="s">
        <v>1013</v>
      </c>
      <c r="K377" s="294" t="s">
        <v>1257</v>
      </c>
      <c r="L377" s="39"/>
      <c r="O377" t="s">
        <v>1272</v>
      </c>
      <c r="R377">
        <v>0.82199999999999995</v>
      </c>
      <c r="S377"/>
      <c r="U377" s="54"/>
      <c r="V377" s="54"/>
      <c r="W377" s="54"/>
      <c r="X377" s="66">
        <f t="shared" si="17"/>
        <v>0.82199999999999995</v>
      </c>
      <c r="Y377">
        <v>140</v>
      </c>
      <c r="Z377" s="192" t="str">
        <f t="shared" si="19"/>
        <v>S</v>
      </c>
      <c r="AA377" s="66"/>
      <c r="AB377" s="66"/>
      <c r="AC377" s="66"/>
      <c r="AD377" s="172"/>
      <c r="AE377" s="172"/>
      <c r="AF377" s="172"/>
      <c r="AG377" s="172"/>
      <c r="AH377" s="172"/>
      <c r="AI377" s="172"/>
      <c r="AJ377" s="172"/>
      <c r="AK377" s="172"/>
      <c r="AL377" s="172"/>
    </row>
    <row r="378" spans="1:38" s="45" customFormat="1">
      <c r="A378" s="53"/>
      <c r="B378" s="290" t="s">
        <v>1276</v>
      </c>
      <c r="C378" s="291">
        <v>1989</v>
      </c>
      <c r="D378" s="66"/>
      <c r="E378" s="60" t="s">
        <v>49</v>
      </c>
      <c r="F378" s="54"/>
      <c r="G378" s="54"/>
      <c r="H378" s="54"/>
      <c r="I378" s="54"/>
      <c r="J378" s="294" t="s">
        <v>1013</v>
      </c>
      <c r="K378" s="294" t="s">
        <v>1002</v>
      </c>
      <c r="L378" s="163"/>
      <c r="M378" s="54"/>
      <c r="N378" s="54"/>
      <c r="O378" t="s">
        <v>1249</v>
      </c>
      <c r="P378" s="54"/>
      <c r="Q378" s="54"/>
      <c r="R378">
        <v>0.81599999999999995</v>
      </c>
      <c r="S378" s="54"/>
      <c r="T378" s="54"/>
      <c r="U378" s="54"/>
      <c r="V378" s="54"/>
      <c r="W378" s="54"/>
      <c r="X378" s="66">
        <f t="shared" si="17"/>
        <v>0.81599999999999995</v>
      </c>
      <c r="Y378">
        <v>179</v>
      </c>
      <c r="Z378" s="192" t="str">
        <f t="shared" si="19"/>
        <v>S</v>
      </c>
      <c r="AA378" s="66"/>
      <c r="AB378" s="66"/>
      <c r="AC378" s="66"/>
      <c r="AD378" s="172"/>
      <c r="AE378" s="172"/>
      <c r="AF378" s="172"/>
      <c r="AG378" s="172"/>
      <c r="AH378" s="172"/>
      <c r="AI378" s="172"/>
      <c r="AJ378" s="172"/>
      <c r="AK378" s="172"/>
      <c r="AL378" s="172"/>
    </row>
    <row r="379" spans="1:38" s="45" customFormat="1">
      <c r="A379" s="53"/>
      <c r="B379" s="290" t="s">
        <v>1276</v>
      </c>
      <c r="C379" s="291">
        <v>1989</v>
      </c>
      <c r="D379" s="66"/>
      <c r="E379" s="60" t="s">
        <v>49</v>
      </c>
      <c r="F379" s="54"/>
      <c r="G379" s="54"/>
      <c r="H379" s="54"/>
      <c r="I379" s="54"/>
      <c r="J379" s="294" t="s">
        <v>1013</v>
      </c>
      <c r="K379" s="294" t="s">
        <v>1002</v>
      </c>
      <c r="L379" s="163"/>
      <c r="M379" s="54"/>
      <c r="N379" s="54"/>
      <c r="O379" t="s">
        <v>1240</v>
      </c>
      <c r="P379" s="54"/>
      <c r="Q379" s="54"/>
      <c r="R379">
        <v>0.81399999999999995</v>
      </c>
      <c r="S379" s="54"/>
      <c r="T379" s="54"/>
      <c r="U379" s="54"/>
      <c r="V379" s="54"/>
      <c r="W379" s="54"/>
      <c r="X379" s="66">
        <f t="shared" si="17"/>
        <v>0.81399999999999995</v>
      </c>
      <c r="Y379">
        <v>140</v>
      </c>
      <c r="Z379" s="192" t="str">
        <f t="shared" si="19"/>
        <v>S</v>
      </c>
      <c r="AA379" s="66"/>
      <c r="AB379" s="66"/>
      <c r="AC379" s="66"/>
      <c r="AD379" s="172"/>
      <c r="AE379" s="172"/>
      <c r="AF379" s="172"/>
      <c r="AG379" s="172"/>
      <c r="AH379" s="172"/>
      <c r="AI379" s="172"/>
      <c r="AJ379" s="172"/>
      <c r="AK379" s="172"/>
      <c r="AL379" s="172"/>
    </row>
    <row r="380" spans="1:38" s="45" customFormat="1">
      <c r="A380" s="53"/>
      <c r="B380" s="290" t="s">
        <v>1276</v>
      </c>
      <c r="C380" s="291">
        <v>1989</v>
      </c>
      <c r="D380" s="66"/>
      <c r="E380" s="60" t="s">
        <v>49</v>
      </c>
      <c r="F380" s="54"/>
      <c r="G380" s="54"/>
      <c r="H380" s="54"/>
      <c r="I380" s="54"/>
      <c r="J380" s="294" t="s">
        <v>1013</v>
      </c>
      <c r="K380" s="294" t="s">
        <v>1002</v>
      </c>
      <c r="L380" s="163"/>
      <c r="M380" s="54"/>
      <c r="N380" s="54"/>
      <c r="O380" t="s">
        <v>1248</v>
      </c>
      <c r="P380" s="54"/>
      <c r="Q380" s="54"/>
      <c r="R380">
        <v>0.81299999999999994</v>
      </c>
      <c r="S380" s="54"/>
      <c r="T380" s="54"/>
      <c r="U380" s="54"/>
      <c r="V380" s="54"/>
      <c r="W380" s="54"/>
      <c r="X380" s="66">
        <f t="shared" si="17"/>
        <v>0.81299999999999994</v>
      </c>
      <c r="Y380">
        <v>182</v>
      </c>
      <c r="Z380" s="192" t="str">
        <f t="shared" si="19"/>
        <v>S</v>
      </c>
      <c r="AA380" s="66"/>
      <c r="AB380" s="66"/>
      <c r="AC380" s="66"/>
      <c r="AD380" s="172"/>
      <c r="AE380" s="172"/>
      <c r="AF380" s="172"/>
      <c r="AG380" s="172"/>
      <c r="AH380" s="172"/>
      <c r="AI380" s="172"/>
      <c r="AJ380" s="172"/>
      <c r="AK380" s="172"/>
      <c r="AL380" s="172"/>
    </row>
    <row r="381" spans="1:38" s="45" customFormat="1">
      <c r="A381" s="53">
        <v>46</v>
      </c>
      <c r="B381" s="60" t="s">
        <v>45</v>
      </c>
      <c r="C381" s="60">
        <v>1984</v>
      </c>
      <c r="D381" s="60" t="s">
        <v>113</v>
      </c>
      <c r="E381" s="56" t="s">
        <v>49</v>
      </c>
      <c r="F381" s="54">
        <v>1983</v>
      </c>
      <c r="G381" s="54" t="s">
        <v>116</v>
      </c>
      <c r="H381" s="54" t="s">
        <v>95</v>
      </c>
      <c r="I381" s="54"/>
      <c r="J381" s="54" t="s">
        <v>1013</v>
      </c>
      <c r="K381" s="54" t="s">
        <v>1134</v>
      </c>
      <c r="L381" s="54" t="s">
        <v>117</v>
      </c>
      <c r="M381" s="54"/>
      <c r="N381" s="54"/>
      <c r="O381" s="54" t="s">
        <v>132</v>
      </c>
      <c r="P381" s="54"/>
      <c r="Q381" s="54">
        <v>0.81</v>
      </c>
      <c r="R381" s="54">
        <f>+Q381</f>
        <v>0.81</v>
      </c>
      <c r="S381" s="54"/>
      <c r="T381" s="54"/>
      <c r="U381" s="54"/>
      <c r="V381" s="54"/>
      <c r="W381" s="54"/>
      <c r="X381" s="66">
        <f t="shared" si="17"/>
        <v>0.81</v>
      </c>
      <c r="Y381" s="71">
        <v>197</v>
      </c>
      <c r="Z381" s="192" t="str">
        <f t="shared" si="19"/>
        <v>S</v>
      </c>
      <c r="AA381" s="66"/>
      <c r="AB381" s="66"/>
      <c r="AC381" s="66"/>
      <c r="AD381" s="172"/>
      <c r="AE381" s="172"/>
      <c r="AF381" s="172"/>
      <c r="AG381" s="172"/>
      <c r="AH381" s="172"/>
      <c r="AI381" s="172"/>
      <c r="AJ381" s="172"/>
      <c r="AK381" s="172"/>
      <c r="AL381" s="172"/>
    </row>
    <row r="382" spans="1:38" s="45" customFormat="1">
      <c r="A382" s="66"/>
      <c r="B382" s="67" t="s">
        <v>968</v>
      </c>
      <c r="C382" s="171">
        <v>1996</v>
      </c>
      <c r="D382" s="66"/>
      <c r="E382" s="73" t="s">
        <v>172</v>
      </c>
      <c r="F382" s="66"/>
      <c r="G382" s="66"/>
      <c r="H382" s="66" t="s">
        <v>302</v>
      </c>
      <c r="I382" s="66" t="s">
        <v>1014</v>
      </c>
      <c r="J382" s="66" t="s">
        <v>1013</v>
      </c>
      <c r="K382" s="54" t="s">
        <v>1013</v>
      </c>
      <c r="L382" s="54"/>
      <c r="M382" s="66"/>
      <c r="N382" s="66"/>
      <c r="O382" s="67" t="s">
        <v>1009</v>
      </c>
      <c r="P382" s="66"/>
      <c r="Q382" s="66"/>
      <c r="R382" s="66"/>
      <c r="S382" s="66"/>
      <c r="T382" s="66"/>
      <c r="U382" s="66">
        <v>0.81</v>
      </c>
      <c r="V382" s="66"/>
      <c r="W382" s="66">
        <f>168*28/12/2</f>
        <v>196</v>
      </c>
      <c r="X382" s="66">
        <f t="shared" si="17"/>
        <v>0.81</v>
      </c>
      <c r="Y382" s="206">
        <f>168*28/12/2</f>
        <v>196</v>
      </c>
      <c r="Z382" s="192" t="str">
        <f t="shared" si="19"/>
        <v>S</v>
      </c>
      <c r="AA382" s="66"/>
      <c r="AB382" s="66"/>
      <c r="AC382" s="66"/>
      <c r="AD382" s="172"/>
      <c r="AE382" s="172"/>
      <c r="AF382" s="172"/>
      <c r="AG382" s="172"/>
      <c r="AH382" s="172"/>
      <c r="AI382" s="172"/>
      <c r="AJ382" s="172"/>
      <c r="AK382" s="172"/>
      <c r="AL382" s="172"/>
    </row>
    <row r="383" spans="1:38" s="45" customFormat="1">
      <c r="A383" s="53"/>
      <c r="B383" s="290" t="s">
        <v>1276</v>
      </c>
      <c r="C383" s="291">
        <v>1989</v>
      </c>
      <c r="D383" s="66"/>
      <c r="E383" s="60" t="s">
        <v>49</v>
      </c>
      <c r="F383" s="54"/>
      <c r="G383" s="54"/>
      <c r="H383" s="54"/>
      <c r="I383" s="54"/>
      <c r="J383" s="294" t="s">
        <v>1013</v>
      </c>
      <c r="K383" s="294" t="s">
        <v>1002</v>
      </c>
      <c r="L383" s="163"/>
      <c r="M383" s="54"/>
      <c r="N383" s="54"/>
      <c r="O383" t="s">
        <v>1251</v>
      </c>
      <c r="P383" s="54"/>
      <c r="Q383" s="54"/>
      <c r="R383">
        <v>0.80500000000000005</v>
      </c>
      <c r="S383" s="54"/>
      <c r="T383" s="54"/>
      <c r="U383" s="54"/>
      <c r="V383" s="54"/>
      <c r="W383" s="54"/>
      <c r="X383" s="66">
        <f t="shared" si="17"/>
        <v>0.80500000000000005</v>
      </c>
      <c r="Y383">
        <v>186</v>
      </c>
      <c r="Z383" s="192" t="str">
        <f t="shared" si="19"/>
        <v>S</v>
      </c>
      <c r="AA383" s="66"/>
      <c r="AB383" s="66"/>
      <c r="AC383" s="66"/>
      <c r="AD383" s="172"/>
      <c r="AE383" s="172"/>
      <c r="AF383" s="172"/>
      <c r="AG383" s="172"/>
      <c r="AH383" s="172"/>
      <c r="AI383" s="172"/>
      <c r="AJ383" s="172"/>
      <c r="AK383" s="172"/>
      <c r="AL383" s="172"/>
    </row>
    <row r="384" spans="1:38" s="45" customFormat="1">
      <c r="A384" s="53"/>
      <c r="B384" s="290" t="s">
        <v>1276</v>
      </c>
      <c r="C384" s="291">
        <v>1989</v>
      </c>
      <c r="D384" s="66"/>
      <c r="E384" s="60" t="s">
        <v>49</v>
      </c>
      <c r="F384" s="54"/>
      <c r="G384" s="54"/>
      <c r="H384" s="54"/>
      <c r="I384" s="54"/>
      <c r="J384" s="294" t="s">
        <v>1013</v>
      </c>
      <c r="K384" s="294" t="s">
        <v>1002</v>
      </c>
      <c r="L384" s="163"/>
      <c r="M384" s="54"/>
      <c r="N384" s="54"/>
      <c r="O384" t="s">
        <v>1236</v>
      </c>
      <c r="P384" s="54"/>
      <c r="Q384" s="54"/>
      <c r="R384">
        <v>0.8</v>
      </c>
      <c r="S384" s="54"/>
      <c r="T384" s="54"/>
      <c r="U384" s="54"/>
      <c r="V384" s="54"/>
      <c r="W384" s="54"/>
      <c r="X384" s="66">
        <f t="shared" si="17"/>
        <v>0.8</v>
      </c>
      <c r="Y384">
        <v>198</v>
      </c>
      <c r="Z384" s="192" t="str">
        <f t="shared" si="19"/>
        <v>S</v>
      </c>
      <c r="AA384" s="66"/>
      <c r="AB384" s="66"/>
      <c r="AC384" s="66"/>
      <c r="AD384" s="172"/>
      <c r="AE384" s="172"/>
      <c r="AF384" s="172"/>
      <c r="AG384" s="172"/>
      <c r="AH384" s="172"/>
      <c r="AI384" s="172"/>
      <c r="AJ384" s="172"/>
      <c r="AK384" s="172"/>
      <c r="AL384" s="172"/>
    </row>
    <row r="385" spans="1:38" s="45" customFormat="1">
      <c r="A385" s="53">
        <v>46</v>
      </c>
      <c r="B385" s="60" t="s">
        <v>45</v>
      </c>
      <c r="C385" s="60">
        <v>1984</v>
      </c>
      <c r="D385" s="60" t="s">
        <v>113</v>
      </c>
      <c r="E385" s="56" t="s">
        <v>49</v>
      </c>
      <c r="F385" s="54">
        <v>1983</v>
      </c>
      <c r="G385" s="54" t="s">
        <v>116</v>
      </c>
      <c r="H385" s="54" t="s">
        <v>95</v>
      </c>
      <c r="I385" s="54"/>
      <c r="J385" s="54" t="s">
        <v>1013</v>
      </c>
      <c r="K385" s="54" t="s">
        <v>1134</v>
      </c>
      <c r="L385" s="54" t="s">
        <v>117</v>
      </c>
      <c r="M385" s="54"/>
      <c r="N385" s="54"/>
      <c r="O385" s="54" t="s">
        <v>120</v>
      </c>
      <c r="P385" s="54"/>
      <c r="Q385" s="54">
        <v>0.8</v>
      </c>
      <c r="R385" s="54">
        <f>+Q385</f>
        <v>0.8</v>
      </c>
      <c r="S385" s="54"/>
      <c r="T385" s="54"/>
      <c r="U385" s="54"/>
      <c r="V385" s="54"/>
      <c r="W385" s="54"/>
      <c r="X385" s="66">
        <f t="shared" si="17"/>
        <v>0.8</v>
      </c>
      <c r="Y385" s="71">
        <v>198</v>
      </c>
      <c r="Z385" s="192" t="str">
        <f t="shared" si="19"/>
        <v>S</v>
      </c>
      <c r="AA385" s="66"/>
      <c r="AB385" s="66"/>
      <c r="AC385" s="66"/>
      <c r="AD385" s="172"/>
      <c r="AE385" s="172"/>
      <c r="AF385" s="172"/>
      <c r="AG385" s="172"/>
      <c r="AH385" s="172"/>
      <c r="AI385" s="172"/>
      <c r="AJ385" s="172"/>
      <c r="AK385" s="172"/>
      <c r="AL385" s="172"/>
    </row>
    <row r="386" spans="1:38" s="45" customFormat="1">
      <c r="A386" s="53">
        <v>46</v>
      </c>
      <c r="B386" s="60" t="s">
        <v>45</v>
      </c>
      <c r="C386" s="60">
        <v>1984</v>
      </c>
      <c r="D386" s="60" t="s">
        <v>113</v>
      </c>
      <c r="E386" s="56" t="s">
        <v>49</v>
      </c>
      <c r="F386" s="54">
        <v>1983</v>
      </c>
      <c r="G386" s="54" t="s">
        <v>116</v>
      </c>
      <c r="H386" s="54" t="s">
        <v>95</v>
      </c>
      <c r="I386" s="54"/>
      <c r="J386" s="54" t="s">
        <v>1013</v>
      </c>
      <c r="K386" s="54" t="s">
        <v>1134</v>
      </c>
      <c r="L386" s="54" t="s">
        <v>117</v>
      </c>
      <c r="M386" s="54"/>
      <c r="N386" s="54"/>
      <c r="O386" s="54" t="s">
        <v>130</v>
      </c>
      <c r="P386" s="54"/>
      <c r="Q386" s="54">
        <v>0.8</v>
      </c>
      <c r="R386" s="54">
        <f>+Q386</f>
        <v>0.8</v>
      </c>
      <c r="S386" s="54"/>
      <c r="T386" s="54"/>
      <c r="U386" s="54"/>
      <c r="V386" s="54"/>
      <c r="W386" s="54"/>
      <c r="X386" s="66">
        <f t="shared" si="17"/>
        <v>0.8</v>
      </c>
      <c r="Y386" s="71">
        <v>196</v>
      </c>
      <c r="Z386" s="192" t="str">
        <f t="shared" si="19"/>
        <v>S</v>
      </c>
      <c r="AA386" s="66"/>
      <c r="AB386" s="66"/>
      <c r="AC386" s="66"/>
      <c r="AD386" s="172"/>
      <c r="AE386" s="172"/>
      <c r="AF386" s="172"/>
      <c r="AG386" s="172"/>
      <c r="AH386" s="172"/>
      <c r="AI386" s="172"/>
      <c r="AJ386" s="172"/>
      <c r="AK386" s="172"/>
      <c r="AL386" s="172"/>
    </row>
    <row r="387" spans="1:38" s="45" customFormat="1">
      <c r="A387" s="53">
        <v>197</v>
      </c>
      <c r="B387" s="73" t="s">
        <v>875</v>
      </c>
      <c r="C387" s="54">
        <v>2007</v>
      </c>
      <c r="D387" s="73" t="s">
        <v>928</v>
      </c>
      <c r="E387" s="56" t="s">
        <v>20</v>
      </c>
      <c r="F387" s="54">
        <v>2003</v>
      </c>
      <c r="G387" s="54" t="s">
        <v>326</v>
      </c>
      <c r="H387" s="54" t="s">
        <v>159</v>
      </c>
      <c r="I387" s="54"/>
      <c r="J387" s="66" t="s">
        <v>1013</v>
      </c>
      <c r="K387" s="54" t="s">
        <v>1112</v>
      </c>
      <c r="L387" s="54" t="s">
        <v>924</v>
      </c>
      <c r="M387" s="54"/>
      <c r="N387" s="54"/>
      <c r="O387" s="54" t="s">
        <v>932</v>
      </c>
      <c r="P387" s="66"/>
      <c r="Q387" s="54">
        <v>0.8</v>
      </c>
      <c r="R387" s="66">
        <f>+Q387</f>
        <v>0.8</v>
      </c>
      <c r="S387" s="66"/>
      <c r="T387" s="66"/>
      <c r="U387" s="66"/>
      <c r="V387" s="66"/>
      <c r="W387" s="54">
        <v>157.4</v>
      </c>
      <c r="X387" s="66">
        <f t="shared" si="17"/>
        <v>0.8</v>
      </c>
      <c r="Y387" s="206">
        <f>+W387</f>
        <v>157.4</v>
      </c>
      <c r="Z387" s="192" t="str">
        <f t="shared" si="19"/>
        <v>S</v>
      </c>
      <c r="AA387" s="66"/>
      <c r="AB387" s="66"/>
      <c r="AC387" s="66"/>
      <c r="AD387" s="172"/>
      <c r="AE387" s="172"/>
      <c r="AF387" s="172"/>
      <c r="AG387" s="172"/>
      <c r="AH387" s="172"/>
      <c r="AI387" s="172"/>
      <c r="AJ387" s="172"/>
      <c r="AK387" s="172"/>
      <c r="AL387" s="172"/>
    </row>
    <row r="388" spans="1:38" s="45" customFormat="1">
      <c r="A388" s="53"/>
      <c r="B388" s="290" t="s">
        <v>1276</v>
      </c>
      <c r="C388" s="291">
        <v>1989</v>
      </c>
      <c r="D388" s="66"/>
      <c r="E388" s="60" t="s">
        <v>49</v>
      </c>
      <c r="F388" s="54"/>
      <c r="G388" s="54"/>
      <c r="H388" s="54"/>
      <c r="I388" s="54"/>
      <c r="J388" s="294" t="s">
        <v>1013</v>
      </c>
      <c r="K388" s="294" t="s">
        <v>1257</v>
      </c>
      <c r="L388" s="39"/>
      <c r="O388" t="s">
        <v>1270</v>
      </c>
      <c r="R388">
        <v>0.79600000000000004</v>
      </c>
      <c r="S388"/>
      <c r="U388" s="54"/>
      <c r="V388" s="54"/>
      <c r="W388" s="54"/>
      <c r="X388" s="66">
        <f t="shared" si="17"/>
        <v>0.79600000000000004</v>
      </c>
      <c r="Y388">
        <v>161</v>
      </c>
      <c r="Z388" s="192" t="str">
        <f t="shared" si="19"/>
        <v>S</v>
      </c>
      <c r="AA388" s="66"/>
      <c r="AB388" s="66"/>
      <c r="AC388" s="66"/>
      <c r="AD388" s="172"/>
      <c r="AE388" s="172"/>
      <c r="AF388" s="172"/>
      <c r="AG388" s="172"/>
      <c r="AH388" s="172"/>
      <c r="AI388" s="172"/>
      <c r="AJ388" s="172"/>
      <c r="AK388" s="172"/>
      <c r="AL388" s="172"/>
    </row>
    <row r="389" spans="1:38" s="45" customFormat="1">
      <c r="A389" s="53"/>
      <c r="B389" s="290" t="s">
        <v>1276</v>
      </c>
      <c r="C389" s="291">
        <v>1989</v>
      </c>
      <c r="D389" s="66"/>
      <c r="E389" s="60" t="s">
        <v>49</v>
      </c>
      <c r="F389" s="54"/>
      <c r="G389" s="54"/>
      <c r="H389" s="54"/>
      <c r="I389" s="54"/>
      <c r="J389" s="294" t="s">
        <v>1013</v>
      </c>
      <c r="K389" s="294" t="s">
        <v>1002</v>
      </c>
      <c r="L389" s="163"/>
      <c r="M389" s="54"/>
      <c r="N389" s="54"/>
      <c r="O389" t="s">
        <v>1241</v>
      </c>
      <c r="P389" s="54"/>
      <c r="Q389" s="54"/>
      <c r="R389">
        <v>0.79400000000000004</v>
      </c>
      <c r="S389" s="54"/>
      <c r="T389" s="54"/>
      <c r="U389" s="54"/>
      <c r="V389" s="54"/>
      <c r="W389" s="54"/>
      <c r="X389" s="66">
        <f t="shared" si="17"/>
        <v>0.79400000000000004</v>
      </c>
      <c r="Y389">
        <v>197</v>
      </c>
      <c r="Z389" s="192" t="str">
        <f t="shared" si="19"/>
        <v>S</v>
      </c>
      <c r="AA389" s="66"/>
      <c r="AB389" s="66"/>
      <c r="AC389" s="66"/>
      <c r="AD389" s="172"/>
      <c r="AE389" s="172"/>
      <c r="AF389" s="172"/>
      <c r="AG389" s="172"/>
      <c r="AH389" s="172"/>
      <c r="AI389" s="172"/>
      <c r="AJ389" s="172"/>
      <c r="AK389" s="172"/>
      <c r="AL389" s="172"/>
    </row>
    <row r="390" spans="1:38" s="45" customFormat="1">
      <c r="A390" s="53">
        <v>46</v>
      </c>
      <c r="B390" s="60" t="s">
        <v>45</v>
      </c>
      <c r="C390" s="60">
        <v>1984</v>
      </c>
      <c r="D390" s="60" t="s">
        <v>113</v>
      </c>
      <c r="E390" s="56" t="s">
        <v>49</v>
      </c>
      <c r="F390" s="54">
        <v>1983</v>
      </c>
      <c r="G390" s="54" t="s">
        <v>116</v>
      </c>
      <c r="H390" s="54" t="s">
        <v>95</v>
      </c>
      <c r="I390" s="54"/>
      <c r="J390" s="54" t="s">
        <v>1013</v>
      </c>
      <c r="K390" s="54" t="s">
        <v>1134</v>
      </c>
      <c r="L390" s="54" t="s">
        <v>117</v>
      </c>
      <c r="M390" s="54"/>
      <c r="N390" s="54"/>
      <c r="O390" s="54" t="s">
        <v>122</v>
      </c>
      <c r="P390" s="54"/>
      <c r="Q390" s="54">
        <v>0.79</v>
      </c>
      <c r="R390" s="54">
        <f>+Q390</f>
        <v>0.79</v>
      </c>
      <c r="S390" s="54"/>
      <c r="T390" s="54"/>
      <c r="U390" s="54"/>
      <c r="V390" s="54"/>
      <c r="W390" s="54"/>
      <c r="X390" s="66">
        <f t="shared" si="17"/>
        <v>0.79</v>
      </c>
      <c r="Y390" s="71">
        <v>201</v>
      </c>
      <c r="Z390" s="192" t="str">
        <f t="shared" si="19"/>
        <v>S</v>
      </c>
      <c r="AA390" s="66"/>
      <c r="AB390" s="66"/>
      <c r="AC390" s="66"/>
      <c r="AD390" s="172"/>
      <c r="AE390" s="172"/>
      <c r="AF390" s="172"/>
      <c r="AG390" s="172"/>
      <c r="AH390" s="172"/>
      <c r="AI390" s="172"/>
      <c r="AJ390" s="172"/>
      <c r="AK390" s="172"/>
      <c r="AL390" s="172"/>
    </row>
    <row r="391" spans="1:38" s="45" customFormat="1">
      <c r="A391" s="53"/>
      <c r="B391" s="290" t="s">
        <v>1276</v>
      </c>
      <c r="C391" s="291">
        <v>1989</v>
      </c>
      <c r="D391" s="66"/>
      <c r="E391" s="60" t="s">
        <v>49</v>
      </c>
      <c r="F391" s="54"/>
      <c r="G391" s="54"/>
      <c r="H391" s="54"/>
      <c r="I391" s="54"/>
      <c r="J391" s="294" t="s">
        <v>1013</v>
      </c>
      <c r="K391" s="294" t="s">
        <v>1002</v>
      </c>
      <c r="L391" s="163"/>
      <c r="M391" s="54"/>
      <c r="N391" s="54"/>
      <c r="O391" t="s">
        <v>1243</v>
      </c>
      <c r="P391" s="54"/>
      <c r="Q391" s="54"/>
      <c r="R391">
        <v>0.78900000000000003</v>
      </c>
      <c r="S391" s="54"/>
      <c r="T391" s="54"/>
      <c r="U391" s="54"/>
      <c r="V391" s="54"/>
      <c r="W391" s="54"/>
      <c r="X391" s="66">
        <f t="shared" si="17"/>
        <v>0.78900000000000003</v>
      </c>
      <c r="Y391">
        <v>214</v>
      </c>
      <c r="Z391" s="192" t="str">
        <f t="shared" si="19"/>
        <v>S</v>
      </c>
      <c r="AA391" s="66"/>
      <c r="AB391" s="66"/>
      <c r="AC391" s="66"/>
      <c r="AD391" s="172"/>
      <c r="AE391" s="172"/>
      <c r="AF391" s="172"/>
      <c r="AG391" s="172"/>
      <c r="AH391" s="172"/>
      <c r="AI391" s="172"/>
      <c r="AJ391" s="172"/>
      <c r="AK391" s="172"/>
      <c r="AL391" s="172"/>
    </row>
    <row r="392" spans="1:38" s="45" customFormat="1">
      <c r="A392" s="53"/>
      <c r="B392" s="290" t="s">
        <v>1276</v>
      </c>
      <c r="C392" s="291">
        <v>1989</v>
      </c>
      <c r="D392" s="66"/>
      <c r="E392" s="60" t="s">
        <v>49</v>
      </c>
      <c r="F392" s="54"/>
      <c r="G392" s="54"/>
      <c r="H392" s="54"/>
      <c r="I392" s="54"/>
      <c r="J392" s="294" t="s">
        <v>1013</v>
      </c>
      <c r="K392" s="294" t="s">
        <v>1002</v>
      </c>
      <c r="L392" s="163"/>
      <c r="M392" s="54"/>
      <c r="N392" s="54"/>
      <c r="O392" t="s">
        <v>1238</v>
      </c>
      <c r="P392" s="54"/>
      <c r="Q392" s="54"/>
      <c r="R392">
        <v>0.78400000000000003</v>
      </c>
      <c r="S392" s="54"/>
      <c r="T392" s="54"/>
      <c r="U392" s="54"/>
      <c r="V392" s="54"/>
      <c r="W392" s="54"/>
      <c r="X392" s="66">
        <f t="shared" si="17"/>
        <v>0.78400000000000003</v>
      </c>
      <c r="Y392">
        <v>211</v>
      </c>
      <c r="Z392" s="192" t="str">
        <f t="shared" si="19"/>
        <v>S</v>
      </c>
      <c r="AA392" s="66"/>
      <c r="AB392" s="66"/>
      <c r="AC392" s="66"/>
      <c r="AD392" s="172"/>
      <c r="AE392" s="172"/>
      <c r="AF392" s="172"/>
      <c r="AG392" s="172"/>
      <c r="AH392" s="172"/>
      <c r="AI392" s="172"/>
      <c r="AJ392" s="172"/>
      <c r="AK392" s="172"/>
      <c r="AL392" s="172"/>
    </row>
    <row r="393" spans="1:38" s="45" customFormat="1">
      <c r="A393" s="53">
        <v>46</v>
      </c>
      <c r="B393" s="60" t="s">
        <v>45</v>
      </c>
      <c r="C393" s="60">
        <v>1984</v>
      </c>
      <c r="D393" s="60" t="s">
        <v>113</v>
      </c>
      <c r="E393" s="56" t="s">
        <v>49</v>
      </c>
      <c r="F393" s="54">
        <v>1983</v>
      </c>
      <c r="G393" s="54" t="s">
        <v>116</v>
      </c>
      <c r="H393" s="54" t="s">
        <v>95</v>
      </c>
      <c r="I393" s="54"/>
      <c r="J393" s="54" t="s">
        <v>1013</v>
      </c>
      <c r="K393" s="54" t="s">
        <v>1134</v>
      </c>
      <c r="L393" s="54" t="s">
        <v>117</v>
      </c>
      <c r="M393" s="54"/>
      <c r="N393" s="54"/>
      <c r="O393" s="54" t="s">
        <v>124</v>
      </c>
      <c r="P393" s="54"/>
      <c r="Q393" s="54">
        <v>0.78</v>
      </c>
      <c r="R393" s="54">
        <f>+Q393</f>
        <v>0.78</v>
      </c>
      <c r="S393" s="54"/>
      <c r="T393" s="54"/>
      <c r="U393" s="54"/>
      <c r="V393" s="54"/>
      <c r="W393" s="54"/>
      <c r="X393" s="66">
        <f t="shared" si="17"/>
        <v>0.78</v>
      </c>
      <c r="Y393" s="71">
        <v>222</v>
      </c>
      <c r="Z393" s="192" t="str">
        <f t="shared" si="19"/>
        <v>S</v>
      </c>
      <c r="AA393" s="66"/>
      <c r="AB393" s="66"/>
      <c r="AC393" s="66"/>
      <c r="AD393" s="172"/>
      <c r="AE393" s="172"/>
      <c r="AF393" s="172"/>
      <c r="AG393" s="172"/>
      <c r="AH393" s="172"/>
      <c r="AI393" s="172"/>
      <c r="AJ393" s="172"/>
      <c r="AK393" s="172"/>
      <c r="AL393" s="172"/>
    </row>
    <row r="394" spans="1:38" s="45" customFormat="1">
      <c r="A394" s="53">
        <v>35</v>
      </c>
      <c r="B394" s="60" t="s">
        <v>45</v>
      </c>
      <c r="C394" s="60">
        <v>1982</v>
      </c>
      <c r="D394" s="60" t="s">
        <v>46</v>
      </c>
      <c r="E394" s="56" t="s">
        <v>49</v>
      </c>
      <c r="F394" s="54" t="s">
        <v>50</v>
      </c>
      <c r="G394" s="54" t="s">
        <v>51</v>
      </c>
      <c r="H394" s="54" t="s">
        <v>23</v>
      </c>
      <c r="I394" s="54"/>
      <c r="J394" s="54" t="s">
        <v>1013</v>
      </c>
      <c r="K394" s="54" t="s">
        <v>1134</v>
      </c>
      <c r="L394" s="54" t="s">
        <v>52</v>
      </c>
      <c r="M394" s="54"/>
      <c r="N394" s="54"/>
      <c r="O394" s="54" t="s">
        <v>70</v>
      </c>
      <c r="P394" s="54"/>
      <c r="Q394" s="54">
        <v>0.78</v>
      </c>
      <c r="R394" s="54">
        <f>+Q394</f>
        <v>0.78</v>
      </c>
      <c r="S394" s="54"/>
      <c r="T394" s="54"/>
      <c r="U394" s="54"/>
      <c r="V394" s="54"/>
      <c r="W394" s="54">
        <v>204</v>
      </c>
      <c r="X394" s="66">
        <f t="shared" si="17"/>
        <v>0.78</v>
      </c>
      <c r="Y394" s="71">
        <f>+W394</f>
        <v>204</v>
      </c>
      <c r="Z394" s="192" t="str">
        <f t="shared" si="19"/>
        <v>S</v>
      </c>
      <c r="AA394" s="66"/>
      <c r="AB394" s="66"/>
      <c r="AC394" s="66"/>
      <c r="AD394" s="172"/>
      <c r="AE394" s="172"/>
      <c r="AF394" s="172"/>
      <c r="AG394" s="172"/>
      <c r="AH394" s="172"/>
      <c r="AI394" s="172"/>
      <c r="AJ394" s="172"/>
      <c r="AK394" s="172"/>
      <c r="AL394" s="172"/>
    </row>
    <row r="395" spans="1:38" s="45" customFormat="1">
      <c r="A395" s="53">
        <v>35</v>
      </c>
      <c r="B395" s="60" t="s">
        <v>45</v>
      </c>
      <c r="C395" s="60">
        <v>1982</v>
      </c>
      <c r="D395" s="60" t="s">
        <v>46</v>
      </c>
      <c r="E395" s="56" t="s">
        <v>49</v>
      </c>
      <c r="F395" s="54" t="s">
        <v>50</v>
      </c>
      <c r="G395" s="54" t="s">
        <v>51</v>
      </c>
      <c r="H395" s="54" t="s">
        <v>23</v>
      </c>
      <c r="I395" s="54"/>
      <c r="J395" s="54" t="s">
        <v>1013</v>
      </c>
      <c r="K395" s="54" t="s">
        <v>1134</v>
      </c>
      <c r="L395" s="54" t="s">
        <v>52</v>
      </c>
      <c r="M395" s="54"/>
      <c r="N395" s="54"/>
      <c r="O395" s="54" t="s">
        <v>70</v>
      </c>
      <c r="P395" s="54"/>
      <c r="Q395" s="54">
        <v>0.78</v>
      </c>
      <c r="R395" s="54">
        <f>+Q395</f>
        <v>0.78</v>
      </c>
      <c r="S395" s="54"/>
      <c r="T395" s="54"/>
      <c r="U395" s="54"/>
      <c r="V395" s="54"/>
      <c r="W395" s="54">
        <v>204</v>
      </c>
      <c r="X395" s="66">
        <f t="shared" ref="X395:X414" si="20">IF(R395&lt;&gt;0,IF(R395&gt;1,R395/100,R395),IF(U395&lt;&gt;0,IF(U395&gt;1,U395/100,U395),""))</f>
        <v>0.78</v>
      </c>
      <c r="Y395" s="71">
        <f>+W395</f>
        <v>204</v>
      </c>
      <c r="Z395" s="192" t="str">
        <f t="shared" si="19"/>
        <v>S</v>
      </c>
      <c r="AA395" s="66"/>
      <c r="AB395" s="66"/>
      <c r="AC395" s="66"/>
      <c r="AD395" s="172"/>
      <c r="AE395" s="172"/>
      <c r="AF395" s="172"/>
      <c r="AG395" s="172"/>
      <c r="AH395" s="172"/>
      <c r="AI395" s="172"/>
      <c r="AJ395" s="172"/>
      <c r="AK395" s="172"/>
      <c r="AL395" s="172"/>
    </row>
    <row r="396" spans="1:38" s="45" customFormat="1">
      <c r="A396" s="53">
        <v>35</v>
      </c>
      <c r="B396" s="60" t="s">
        <v>45</v>
      </c>
      <c r="C396" s="60">
        <v>1982</v>
      </c>
      <c r="D396" s="60" t="s">
        <v>46</v>
      </c>
      <c r="E396" s="56" t="s">
        <v>49</v>
      </c>
      <c r="F396" s="54" t="s">
        <v>50</v>
      </c>
      <c r="G396" s="54" t="s">
        <v>51</v>
      </c>
      <c r="H396" s="54" t="s">
        <v>23</v>
      </c>
      <c r="I396" s="54"/>
      <c r="J396" s="54" t="s">
        <v>1013</v>
      </c>
      <c r="K396" s="54" t="s">
        <v>1134</v>
      </c>
      <c r="L396" s="54" t="s">
        <v>52</v>
      </c>
      <c r="M396" s="54"/>
      <c r="N396" s="54"/>
      <c r="O396" s="54" t="s">
        <v>69</v>
      </c>
      <c r="P396" s="54"/>
      <c r="Q396" s="54">
        <v>0.78</v>
      </c>
      <c r="R396" s="54">
        <f>+Q396</f>
        <v>0.78</v>
      </c>
      <c r="S396" s="54"/>
      <c r="T396" s="54"/>
      <c r="U396" s="54"/>
      <c r="V396" s="54"/>
      <c r="W396" s="54">
        <v>191</v>
      </c>
      <c r="X396" s="66">
        <f t="shared" si="20"/>
        <v>0.78</v>
      </c>
      <c r="Y396" s="71">
        <f>+W396</f>
        <v>191</v>
      </c>
      <c r="Z396" s="192" t="str">
        <f t="shared" ref="Z396:Z414" si="21">IF(X396&lt;&gt;"",IF(X396&lt;0.9,"S","F"),"")</f>
        <v>S</v>
      </c>
      <c r="AA396" s="66"/>
      <c r="AB396" s="66"/>
      <c r="AC396" s="66"/>
      <c r="AD396" s="172"/>
      <c r="AE396" s="172"/>
      <c r="AF396" s="172"/>
      <c r="AG396" s="172"/>
      <c r="AH396" s="172"/>
      <c r="AI396" s="172"/>
      <c r="AJ396" s="172"/>
      <c r="AK396" s="172"/>
      <c r="AL396" s="172"/>
    </row>
    <row r="397" spans="1:38" s="45" customFormat="1">
      <c r="A397" s="53"/>
      <c r="B397" s="290" t="s">
        <v>1276</v>
      </c>
      <c r="C397" s="291">
        <v>1989</v>
      </c>
      <c r="D397" s="66"/>
      <c r="E397" s="60" t="s">
        <v>49</v>
      </c>
      <c r="F397" s="54"/>
      <c r="G397" s="54"/>
      <c r="H397" s="54"/>
      <c r="I397" s="54"/>
      <c r="J397" s="294" t="s">
        <v>1013</v>
      </c>
      <c r="K397" s="294" t="s">
        <v>1002</v>
      </c>
      <c r="L397" s="163"/>
      <c r="M397" s="54"/>
      <c r="N397" s="54"/>
      <c r="O397" t="s">
        <v>1244</v>
      </c>
      <c r="P397" s="54"/>
      <c r="Q397" s="54"/>
      <c r="R397">
        <v>0.77500000000000002</v>
      </c>
      <c r="S397" s="54"/>
      <c r="T397" s="54"/>
      <c r="U397" s="54"/>
      <c r="V397" s="54"/>
      <c r="W397" s="54"/>
      <c r="X397" s="66">
        <f t="shared" si="20"/>
        <v>0.77500000000000002</v>
      </c>
      <c r="Y397">
        <v>222</v>
      </c>
      <c r="Z397" s="192" t="str">
        <f t="shared" si="21"/>
        <v>S</v>
      </c>
      <c r="AA397" s="66"/>
      <c r="AB397" s="66"/>
      <c r="AC397" s="66"/>
      <c r="AD397" s="172"/>
      <c r="AE397" s="172"/>
      <c r="AF397" s="172"/>
      <c r="AG397" s="172"/>
      <c r="AH397" s="172"/>
      <c r="AI397" s="172"/>
      <c r="AJ397" s="172"/>
      <c r="AK397" s="172"/>
      <c r="AL397" s="172"/>
    </row>
    <row r="398" spans="1:38" s="45" customFormat="1">
      <c r="A398" s="53"/>
      <c r="B398" s="290" t="s">
        <v>1276</v>
      </c>
      <c r="C398" s="291">
        <v>1989</v>
      </c>
      <c r="D398" s="66"/>
      <c r="E398" s="60" t="s">
        <v>49</v>
      </c>
      <c r="F398" s="54"/>
      <c r="G398" s="54"/>
      <c r="H398" s="54"/>
      <c r="I398" s="54"/>
      <c r="J398" s="294" t="s">
        <v>1013</v>
      </c>
      <c r="K398" s="294" t="s">
        <v>1002</v>
      </c>
      <c r="L398" s="163"/>
      <c r="M398" s="54"/>
      <c r="N398" s="54"/>
      <c r="O398" t="s">
        <v>1242</v>
      </c>
      <c r="P398" s="54"/>
      <c r="Q398" s="54"/>
      <c r="R398">
        <v>0.77500000000000002</v>
      </c>
      <c r="S398" s="54"/>
      <c r="T398" s="54"/>
      <c r="U398" s="54"/>
      <c r="V398" s="54"/>
      <c r="W398" s="54"/>
      <c r="X398" s="66">
        <f t="shared" si="20"/>
        <v>0.77500000000000002</v>
      </c>
      <c r="Y398">
        <v>215</v>
      </c>
      <c r="Z398" s="192" t="str">
        <f t="shared" si="21"/>
        <v>S</v>
      </c>
      <c r="AA398" s="66"/>
      <c r="AB398" s="66"/>
      <c r="AC398" s="66"/>
      <c r="AD398" s="172"/>
      <c r="AE398" s="172"/>
      <c r="AF398" s="172"/>
      <c r="AG398" s="172"/>
      <c r="AH398" s="172"/>
      <c r="AI398" s="172"/>
      <c r="AJ398" s="172"/>
      <c r="AK398" s="172"/>
      <c r="AL398" s="172"/>
    </row>
    <row r="399" spans="1:38" s="45" customFormat="1">
      <c r="A399" s="53"/>
      <c r="B399" s="290" t="s">
        <v>1276</v>
      </c>
      <c r="C399" s="291">
        <v>1989</v>
      </c>
      <c r="D399" s="66"/>
      <c r="E399" s="60" t="s">
        <v>49</v>
      </c>
      <c r="F399" s="54"/>
      <c r="G399" s="54"/>
      <c r="H399" s="54"/>
      <c r="I399" s="54"/>
      <c r="J399" s="294" t="s">
        <v>1013</v>
      </c>
      <c r="K399" s="294" t="s">
        <v>1002</v>
      </c>
      <c r="L399" s="163"/>
      <c r="M399" s="54"/>
      <c r="N399" s="54"/>
      <c r="O399" t="s">
        <v>1237</v>
      </c>
      <c r="P399" s="54"/>
      <c r="Q399" s="54"/>
      <c r="R399">
        <v>0.77</v>
      </c>
      <c r="S399" s="54"/>
      <c r="T399" s="54"/>
      <c r="U399" s="54"/>
      <c r="V399" s="54"/>
      <c r="W399" s="54"/>
      <c r="X399" s="66">
        <f t="shared" si="20"/>
        <v>0.77</v>
      </c>
      <c r="Y399">
        <v>231</v>
      </c>
      <c r="Z399" s="192" t="str">
        <f t="shared" si="21"/>
        <v>S</v>
      </c>
      <c r="AA399" s="66"/>
      <c r="AB399" s="66"/>
      <c r="AC399" s="66"/>
      <c r="AD399" s="172"/>
      <c r="AE399" s="172"/>
      <c r="AF399" s="172"/>
      <c r="AG399" s="172"/>
      <c r="AH399" s="172"/>
      <c r="AI399" s="172"/>
      <c r="AJ399" s="172"/>
      <c r="AK399" s="172"/>
      <c r="AL399" s="172"/>
    </row>
    <row r="400" spans="1:38" s="45" customFormat="1">
      <c r="A400" s="53">
        <v>46</v>
      </c>
      <c r="B400" s="60" t="s">
        <v>45</v>
      </c>
      <c r="C400" s="60">
        <v>1984</v>
      </c>
      <c r="D400" s="60" t="s">
        <v>113</v>
      </c>
      <c r="E400" s="56" t="s">
        <v>49</v>
      </c>
      <c r="F400" s="54">
        <v>1983</v>
      </c>
      <c r="G400" s="54" t="s">
        <v>116</v>
      </c>
      <c r="H400" s="54" t="s">
        <v>95</v>
      </c>
      <c r="I400" s="54"/>
      <c r="J400" s="54" t="s">
        <v>1013</v>
      </c>
      <c r="K400" s="54" t="s">
        <v>1134</v>
      </c>
      <c r="L400" s="54" t="s">
        <v>117</v>
      </c>
      <c r="M400" s="54"/>
      <c r="N400" s="54"/>
      <c r="O400" s="54" t="s">
        <v>125</v>
      </c>
      <c r="P400" s="54"/>
      <c r="Q400" s="54">
        <v>0.77</v>
      </c>
      <c r="R400" s="54">
        <f>+Q400</f>
        <v>0.77</v>
      </c>
      <c r="S400" s="54"/>
      <c r="T400" s="54"/>
      <c r="U400" s="54"/>
      <c r="V400" s="54"/>
      <c r="W400" s="54"/>
      <c r="X400" s="66">
        <f t="shared" si="20"/>
        <v>0.77</v>
      </c>
      <c r="Y400" s="71">
        <v>231</v>
      </c>
      <c r="Z400" s="192" t="str">
        <f t="shared" si="21"/>
        <v>S</v>
      </c>
      <c r="AA400" s="66"/>
      <c r="AB400" s="66"/>
      <c r="AC400" s="66"/>
      <c r="AD400" s="172"/>
      <c r="AE400" s="172"/>
      <c r="AF400" s="172"/>
      <c r="AG400" s="172"/>
      <c r="AH400" s="172"/>
      <c r="AI400" s="172"/>
      <c r="AJ400" s="172"/>
      <c r="AK400" s="172"/>
      <c r="AL400" s="172"/>
    </row>
    <row r="401" spans="1:38" s="45" customFormat="1">
      <c r="A401" s="53">
        <v>46</v>
      </c>
      <c r="B401" s="60" t="s">
        <v>45</v>
      </c>
      <c r="C401" s="60">
        <v>1984</v>
      </c>
      <c r="D401" s="60" t="s">
        <v>113</v>
      </c>
      <c r="E401" s="56" t="s">
        <v>49</v>
      </c>
      <c r="F401" s="54">
        <v>1983</v>
      </c>
      <c r="G401" s="54" t="s">
        <v>116</v>
      </c>
      <c r="H401" s="54" t="s">
        <v>95</v>
      </c>
      <c r="I401" s="54"/>
      <c r="J401" s="54" t="s">
        <v>1013</v>
      </c>
      <c r="K401" s="54" t="s">
        <v>1134</v>
      </c>
      <c r="L401" s="54" t="s">
        <v>117</v>
      </c>
      <c r="M401" s="54"/>
      <c r="N401" s="54"/>
      <c r="O401" s="54" t="s">
        <v>129</v>
      </c>
      <c r="P401" s="54"/>
      <c r="Q401" s="54">
        <v>0.77</v>
      </c>
      <c r="R401" s="54">
        <f>+Q401</f>
        <v>0.77</v>
      </c>
      <c r="S401" s="54"/>
      <c r="T401" s="54"/>
      <c r="U401" s="54"/>
      <c r="V401" s="54"/>
      <c r="W401" s="54"/>
      <c r="X401" s="66">
        <f t="shared" si="20"/>
        <v>0.77</v>
      </c>
      <c r="Y401" s="71">
        <v>156</v>
      </c>
      <c r="Z401" s="192" t="str">
        <f t="shared" si="21"/>
        <v>S</v>
      </c>
      <c r="AA401" s="66"/>
      <c r="AB401" s="66"/>
      <c r="AC401" s="66"/>
      <c r="AD401" s="172"/>
      <c r="AE401" s="172"/>
      <c r="AF401" s="172"/>
      <c r="AG401" s="172"/>
      <c r="AH401" s="172"/>
      <c r="AI401" s="172"/>
      <c r="AJ401" s="172"/>
      <c r="AK401" s="172"/>
      <c r="AL401" s="172"/>
    </row>
    <row r="402" spans="1:38" s="45" customFormat="1">
      <c r="A402" s="53"/>
      <c r="B402" s="290" t="s">
        <v>1276</v>
      </c>
      <c r="C402" s="291">
        <v>1989</v>
      </c>
      <c r="D402" s="66"/>
      <c r="E402" s="60" t="s">
        <v>49</v>
      </c>
      <c r="F402" s="54"/>
      <c r="G402" s="54"/>
      <c r="H402" s="54"/>
      <c r="I402" s="54"/>
      <c r="J402" s="257" t="s">
        <v>1013</v>
      </c>
      <c r="K402" s="257" t="s">
        <v>1256</v>
      </c>
      <c r="O402" t="s">
        <v>1261</v>
      </c>
      <c r="R402">
        <v>0.75600000000000001</v>
      </c>
      <c r="S402"/>
      <c r="U402" s="54"/>
      <c r="V402" s="54"/>
      <c r="W402" s="54"/>
      <c r="X402" s="66">
        <f t="shared" si="20"/>
        <v>0.75600000000000001</v>
      </c>
      <c r="Y402">
        <v>198</v>
      </c>
      <c r="Z402" s="192" t="str">
        <f t="shared" si="21"/>
        <v>S</v>
      </c>
      <c r="AA402" s="66"/>
      <c r="AB402" s="66"/>
      <c r="AC402" s="66"/>
      <c r="AD402" s="172"/>
      <c r="AE402" s="172"/>
      <c r="AF402" s="172"/>
      <c r="AG402" s="172"/>
      <c r="AH402" s="172"/>
      <c r="AI402" s="172"/>
      <c r="AJ402" s="172"/>
      <c r="AK402" s="172"/>
      <c r="AL402" s="172"/>
    </row>
    <row r="403" spans="1:38" s="45" customFormat="1">
      <c r="A403" s="53">
        <v>46</v>
      </c>
      <c r="B403" s="60" t="s">
        <v>45</v>
      </c>
      <c r="C403" s="60">
        <v>1984</v>
      </c>
      <c r="D403" s="60" t="s">
        <v>113</v>
      </c>
      <c r="E403" s="56" t="s">
        <v>49</v>
      </c>
      <c r="F403" s="54">
        <v>1983</v>
      </c>
      <c r="G403" s="54" t="s">
        <v>116</v>
      </c>
      <c r="H403" s="54" t="s">
        <v>95</v>
      </c>
      <c r="I403" s="54"/>
      <c r="J403" s="54" t="s">
        <v>1013</v>
      </c>
      <c r="K403" s="54" t="s">
        <v>1134</v>
      </c>
      <c r="L403" s="54" t="s">
        <v>117</v>
      </c>
      <c r="M403" s="54"/>
      <c r="N403" s="54"/>
      <c r="O403" s="54" t="s">
        <v>127</v>
      </c>
      <c r="P403" s="54"/>
      <c r="Q403" s="54">
        <v>0.74</v>
      </c>
      <c r="R403" s="54">
        <f>+Q403</f>
        <v>0.74</v>
      </c>
      <c r="S403" s="54"/>
      <c r="T403" s="54"/>
      <c r="U403" s="54"/>
      <c r="V403" s="54"/>
      <c r="W403" s="54"/>
      <c r="X403" s="66">
        <f t="shared" si="20"/>
        <v>0.74</v>
      </c>
      <c r="Y403" s="71">
        <v>260</v>
      </c>
      <c r="Z403" s="192" t="str">
        <f t="shared" si="21"/>
        <v>S</v>
      </c>
      <c r="AA403" s="66"/>
      <c r="AB403" s="66"/>
      <c r="AC403" s="66"/>
      <c r="AD403" s="172"/>
      <c r="AE403" s="172"/>
      <c r="AF403" s="172"/>
      <c r="AG403" s="172"/>
      <c r="AH403" s="172"/>
      <c r="AI403" s="172"/>
      <c r="AJ403" s="172"/>
      <c r="AK403" s="172"/>
      <c r="AL403" s="172"/>
    </row>
    <row r="404" spans="1:38" s="45" customFormat="1">
      <c r="A404" s="53">
        <v>35</v>
      </c>
      <c r="B404" s="60" t="s">
        <v>45</v>
      </c>
      <c r="C404" s="60">
        <v>1982</v>
      </c>
      <c r="D404" s="60" t="s">
        <v>46</v>
      </c>
      <c r="E404" s="56" t="s">
        <v>49</v>
      </c>
      <c r="F404" s="54" t="s">
        <v>50</v>
      </c>
      <c r="G404" s="54" t="s">
        <v>51</v>
      </c>
      <c r="H404" s="54" t="s">
        <v>23</v>
      </c>
      <c r="I404" s="54"/>
      <c r="J404" s="54" t="s">
        <v>1013</v>
      </c>
      <c r="K404" s="54" t="s">
        <v>1134</v>
      </c>
      <c r="L404" s="54" t="s">
        <v>52</v>
      </c>
      <c r="M404" s="54"/>
      <c r="N404" s="54"/>
      <c r="O404" s="54" t="s">
        <v>71</v>
      </c>
      <c r="P404" s="54"/>
      <c r="Q404" s="54">
        <v>0.74</v>
      </c>
      <c r="R404" s="54">
        <f>+Q404</f>
        <v>0.74</v>
      </c>
      <c r="S404" s="54"/>
      <c r="T404" s="54"/>
      <c r="U404" s="54"/>
      <c r="V404" s="54"/>
      <c r="W404" s="54">
        <v>241</v>
      </c>
      <c r="X404" s="66">
        <f t="shared" si="20"/>
        <v>0.74</v>
      </c>
      <c r="Y404" s="71">
        <f>+W404</f>
        <v>241</v>
      </c>
      <c r="Z404" s="192" t="str">
        <f t="shared" si="21"/>
        <v>S</v>
      </c>
      <c r="AA404" s="66"/>
      <c r="AB404" s="66"/>
      <c r="AC404" s="66"/>
      <c r="AD404" s="172"/>
      <c r="AE404" s="172"/>
      <c r="AF404" s="172"/>
      <c r="AG404" s="172"/>
      <c r="AH404" s="172"/>
      <c r="AI404" s="172"/>
      <c r="AJ404" s="172"/>
      <c r="AK404" s="172"/>
      <c r="AL404" s="172"/>
    </row>
    <row r="405" spans="1:38" s="45" customFormat="1">
      <c r="A405" s="53">
        <v>35</v>
      </c>
      <c r="B405" s="60" t="s">
        <v>45</v>
      </c>
      <c r="C405" s="60">
        <v>1982</v>
      </c>
      <c r="D405" s="60" t="s">
        <v>46</v>
      </c>
      <c r="E405" s="56" t="s">
        <v>49</v>
      </c>
      <c r="F405" s="54" t="s">
        <v>50</v>
      </c>
      <c r="G405" s="54" t="s">
        <v>51</v>
      </c>
      <c r="H405" s="54" t="s">
        <v>23</v>
      </c>
      <c r="I405" s="54"/>
      <c r="J405" s="54" t="s">
        <v>1013</v>
      </c>
      <c r="K405" s="54" t="s">
        <v>1134</v>
      </c>
      <c r="L405" s="54" t="s">
        <v>52</v>
      </c>
      <c r="M405" s="54"/>
      <c r="N405" s="54"/>
      <c r="O405" s="54" t="s">
        <v>68</v>
      </c>
      <c r="P405" s="54"/>
      <c r="Q405" s="54">
        <v>0.74</v>
      </c>
      <c r="R405" s="54">
        <f>+Q405</f>
        <v>0.74</v>
      </c>
      <c r="S405" s="54"/>
      <c r="T405" s="54"/>
      <c r="U405" s="54"/>
      <c r="V405" s="54"/>
      <c r="W405" s="54">
        <v>226</v>
      </c>
      <c r="X405" s="66">
        <f t="shared" si="20"/>
        <v>0.74</v>
      </c>
      <c r="Y405" s="71">
        <f>+W405</f>
        <v>226</v>
      </c>
      <c r="Z405" s="192" t="str">
        <f t="shared" si="21"/>
        <v>S</v>
      </c>
      <c r="AA405" s="66"/>
      <c r="AB405" s="66"/>
      <c r="AC405" s="66"/>
      <c r="AD405" s="172"/>
      <c r="AE405" s="172"/>
      <c r="AF405" s="172"/>
      <c r="AG405" s="172"/>
      <c r="AH405" s="172"/>
      <c r="AI405" s="172"/>
      <c r="AJ405" s="172"/>
      <c r="AK405" s="172"/>
      <c r="AL405" s="172"/>
    </row>
    <row r="406" spans="1:38" s="45" customFormat="1">
      <c r="A406" s="53">
        <v>35</v>
      </c>
      <c r="B406" s="60" t="s">
        <v>45</v>
      </c>
      <c r="C406" s="60">
        <v>1982</v>
      </c>
      <c r="D406" s="60" t="s">
        <v>46</v>
      </c>
      <c r="E406" s="56" t="s">
        <v>49</v>
      </c>
      <c r="F406" s="54" t="s">
        <v>50</v>
      </c>
      <c r="G406" s="54" t="s">
        <v>51</v>
      </c>
      <c r="H406" s="54" t="s">
        <v>23</v>
      </c>
      <c r="I406" s="54"/>
      <c r="J406" s="54" t="s">
        <v>1013</v>
      </c>
      <c r="K406" s="54" t="s">
        <v>1134</v>
      </c>
      <c r="L406" s="54" t="s">
        <v>52</v>
      </c>
      <c r="M406" s="54"/>
      <c r="N406" s="54"/>
      <c r="O406" s="54" t="s">
        <v>68</v>
      </c>
      <c r="P406" s="54"/>
      <c r="Q406" s="54">
        <v>0.74</v>
      </c>
      <c r="R406" s="54">
        <f>+Q406</f>
        <v>0.74</v>
      </c>
      <c r="S406" s="54"/>
      <c r="T406" s="54"/>
      <c r="U406" s="54"/>
      <c r="V406" s="54"/>
      <c r="W406" s="54">
        <v>226</v>
      </c>
      <c r="X406" s="66">
        <f t="shared" si="20"/>
        <v>0.74</v>
      </c>
      <c r="Y406" s="71">
        <f>+W406</f>
        <v>226</v>
      </c>
      <c r="Z406" s="192" t="str">
        <f t="shared" si="21"/>
        <v>S</v>
      </c>
      <c r="AA406" s="66"/>
      <c r="AB406" s="66"/>
      <c r="AC406" s="66"/>
      <c r="AD406" s="172"/>
      <c r="AE406" s="172"/>
      <c r="AF406" s="172"/>
      <c r="AG406" s="172"/>
      <c r="AH406" s="172"/>
      <c r="AI406" s="172"/>
      <c r="AJ406" s="172"/>
      <c r="AK406" s="172"/>
      <c r="AL406" s="172"/>
    </row>
    <row r="407" spans="1:38" s="45" customFormat="1">
      <c r="A407" s="53"/>
      <c r="B407" s="290" t="s">
        <v>1276</v>
      </c>
      <c r="C407" s="291">
        <v>1989</v>
      </c>
      <c r="D407" s="66"/>
      <c r="E407" s="60" t="s">
        <v>49</v>
      </c>
      <c r="F407" s="54"/>
      <c r="G407" s="54"/>
      <c r="H407" s="54"/>
      <c r="I407" s="54"/>
      <c r="J407" s="294" t="s">
        <v>1013</v>
      </c>
      <c r="K407" s="294" t="s">
        <v>1002</v>
      </c>
      <c r="L407" s="163"/>
      <c r="M407" s="54"/>
      <c r="N407" s="54"/>
      <c r="O407" t="s">
        <v>1245</v>
      </c>
      <c r="P407" s="54"/>
      <c r="Q407" s="54"/>
      <c r="R407">
        <v>0.73</v>
      </c>
      <c r="S407" s="54"/>
      <c r="T407" s="54"/>
      <c r="U407" s="54"/>
      <c r="V407" s="54"/>
      <c r="W407" s="54"/>
      <c r="X407" s="66">
        <f t="shared" si="20"/>
        <v>0.73</v>
      </c>
      <c r="Y407">
        <v>289</v>
      </c>
      <c r="Z407" s="192" t="str">
        <f t="shared" si="21"/>
        <v>S</v>
      </c>
      <c r="AA407" s="66"/>
      <c r="AB407" s="66"/>
      <c r="AC407" s="66"/>
      <c r="AD407" s="172"/>
      <c r="AE407" s="172"/>
      <c r="AF407" s="172"/>
      <c r="AG407" s="172"/>
      <c r="AH407" s="172"/>
      <c r="AI407" s="172"/>
      <c r="AJ407" s="172"/>
      <c r="AK407" s="172"/>
      <c r="AL407" s="172"/>
    </row>
    <row r="408" spans="1:38" s="45" customFormat="1">
      <c r="A408" s="53"/>
      <c r="B408" s="290" t="s">
        <v>1276</v>
      </c>
      <c r="C408" s="291">
        <v>1989</v>
      </c>
      <c r="D408" s="66"/>
      <c r="E408" s="60" t="s">
        <v>49</v>
      </c>
      <c r="F408" s="54"/>
      <c r="G408" s="54"/>
      <c r="H408" s="54"/>
      <c r="I408" s="54"/>
      <c r="J408" s="294" t="s">
        <v>1013</v>
      </c>
      <c r="K408" s="294" t="s">
        <v>1002</v>
      </c>
      <c r="L408" s="163"/>
      <c r="M408" s="54"/>
      <c r="N408" s="54"/>
      <c r="O408" t="s">
        <v>1246</v>
      </c>
      <c r="P408" s="54"/>
      <c r="Q408" s="54"/>
      <c r="R408">
        <v>0.72899999999999998</v>
      </c>
      <c r="S408" s="54"/>
      <c r="T408" s="54"/>
      <c r="U408" s="54"/>
      <c r="V408" s="54"/>
      <c r="W408" s="54"/>
      <c r="X408" s="66">
        <f t="shared" si="20"/>
        <v>0.72899999999999998</v>
      </c>
      <c r="Y408">
        <v>271</v>
      </c>
      <c r="Z408" s="192" t="str">
        <f t="shared" si="21"/>
        <v>S</v>
      </c>
      <c r="AA408" s="66"/>
      <c r="AB408" s="66"/>
      <c r="AC408" s="66"/>
      <c r="AD408" s="172"/>
      <c r="AE408" s="172"/>
      <c r="AF408" s="172"/>
      <c r="AG408" s="172"/>
      <c r="AH408" s="172"/>
      <c r="AI408" s="172"/>
      <c r="AJ408" s="172"/>
      <c r="AK408" s="172"/>
      <c r="AL408" s="172"/>
    </row>
    <row r="409" spans="1:38" s="45" customFormat="1">
      <c r="A409" s="53">
        <v>35</v>
      </c>
      <c r="B409" s="60" t="s">
        <v>45</v>
      </c>
      <c r="C409" s="60">
        <v>1982</v>
      </c>
      <c r="D409" s="60" t="s">
        <v>46</v>
      </c>
      <c r="E409" s="56" t="s">
        <v>49</v>
      </c>
      <c r="F409" s="54" t="s">
        <v>50</v>
      </c>
      <c r="G409" s="54" t="s">
        <v>51</v>
      </c>
      <c r="H409" s="54" t="s">
        <v>23</v>
      </c>
      <c r="I409" s="54"/>
      <c r="J409" s="54" t="s">
        <v>1013</v>
      </c>
      <c r="K409" s="54" t="s">
        <v>1134</v>
      </c>
      <c r="L409" s="54" t="s">
        <v>52</v>
      </c>
      <c r="M409" s="54"/>
      <c r="N409" s="54"/>
      <c r="O409" s="54" t="s">
        <v>72</v>
      </c>
      <c r="P409" s="54"/>
      <c r="Q409" s="54">
        <v>0.71</v>
      </c>
      <c r="R409" s="54">
        <f>+Q409</f>
        <v>0.71</v>
      </c>
      <c r="S409" s="54"/>
      <c r="T409" s="54"/>
      <c r="U409" s="54"/>
      <c r="V409" s="54"/>
      <c r="W409" s="54">
        <v>266</v>
      </c>
      <c r="X409" s="66">
        <f t="shared" si="20"/>
        <v>0.71</v>
      </c>
      <c r="Y409" s="71">
        <f>+W409</f>
        <v>266</v>
      </c>
      <c r="Z409" s="192" t="str">
        <f t="shared" si="21"/>
        <v>S</v>
      </c>
      <c r="AA409" s="66"/>
      <c r="AB409" s="66"/>
      <c r="AC409" s="66"/>
      <c r="AD409" s="172"/>
      <c r="AE409" s="172"/>
      <c r="AF409" s="172"/>
      <c r="AG409" s="172"/>
      <c r="AH409" s="172"/>
      <c r="AI409" s="172"/>
      <c r="AJ409" s="172"/>
      <c r="AK409" s="172"/>
      <c r="AL409" s="172"/>
    </row>
    <row r="410" spans="1:38" s="45" customFormat="1">
      <c r="A410" s="53">
        <v>35</v>
      </c>
      <c r="B410" s="60" t="s">
        <v>45</v>
      </c>
      <c r="C410" s="60">
        <v>1982</v>
      </c>
      <c r="D410" s="60" t="s">
        <v>46</v>
      </c>
      <c r="E410" s="56" t="s">
        <v>49</v>
      </c>
      <c r="F410" s="54" t="s">
        <v>50</v>
      </c>
      <c r="G410" s="54" t="s">
        <v>51</v>
      </c>
      <c r="H410" s="54" t="s">
        <v>23</v>
      </c>
      <c r="I410" s="54"/>
      <c r="J410" s="54" t="s">
        <v>1013</v>
      </c>
      <c r="K410" s="54" t="s">
        <v>1134</v>
      </c>
      <c r="L410" s="54" t="s">
        <v>52</v>
      </c>
      <c r="M410" s="54"/>
      <c r="N410" s="54"/>
      <c r="O410" s="54" t="s">
        <v>72</v>
      </c>
      <c r="P410" s="54"/>
      <c r="Q410" s="54">
        <v>0.71</v>
      </c>
      <c r="R410" s="54">
        <f>+Q410</f>
        <v>0.71</v>
      </c>
      <c r="S410" s="54"/>
      <c r="T410" s="54"/>
      <c r="U410" s="54"/>
      <c r="V410" s="54"/>
      <c r="W410" s="54">
        <v>266</v>
      </c>
      <c r="X410" s="66">
        <f t="shared" si="20"/>
        <v>0.71</v>
      </c>
      <c r="Y410" s="71">
        <f>+W410</f>
        <v>266</v>
      </c>
      <c r="Z410" s="192" t="str">
        <f t="shared" si="21"/>
        <v>S</v>
      </c>
      <c r="AA410" s="66"/>
      <c r="AB410" s="66"/>
      <c r="AC410" s="66"/>
      <c r="AD410" s="172"/>
      <c r="AE410" s="172"/>
      <c r="AF410" s="172"/>
      <c r="AG410" s="172"/>
      <c r="AH410" s="172"/>
      <c r="AI410" s="172"/>
      <c r="AJ410" s="172"/>
      <c r="AK410" s="172"/>
      <c r="AL410" s="172"/>
    </row>
    <row r="411" spans="1:38" s="45" customFormat="1">
      <c r="A411" s="53">
        <v>46</v>
      </c>
      <c r="B411" s="60" t="s">
        <v>45</v>
      </c>
      <c r="C411" s="60">
        <v>1984</v>
      </c>
      <c r="D411" s="60" t="s">
        <v>113</v>
      </c>
      <c r="E411" s="56" t="s">
        <v>49</v>
      </c>
      <c r="F411" s="54">
        <v>1983</v>
      </c>
      <c r="G411" s="54" t="s">
        <v>116</v>
      </c>
      <c r="H411" s="54" t="s">
        <v>95</v>
      </c>
      <c r="I411" s="54"/>
      <c r="J411" s="54" t="s">
        <v>1013</v>
      </c>
      <c r="K411" s="54" t="s">
        <v>1134</v>
      </c>
      <c r="L411" s="54" t="s">
        <v>117</v>
      </c>
      <c r="M411" s="54"/>
      <c r="N411" s="54"/>
      <c r="O411" s="54" t="s">
        <v>133</v>
      </c>
      <c r="P411" s="54"/>
      <c r="Q411" s="54">
        <v>0.69</v>
      </c>
      <c r="R411" s="54">
        <f>+Q411</f>
        <v>0.69</v>
      </c>
      <c r="S411" s="54"/>
      <c r="T411" s="54"/>
      <c r="U411" s="54"/>
      <c r="V411" s="54"/>
      <c r="W411" s="54"/>
      <c r="X411" s="66">
        <f t="shared" si="20"/>
        <v>0.69</v>
      </c>
      <c r="Y411" s="71">
        <v>177</v>
      </c>
      <c r="Z411" s="192" t="str">
        <f t="shared" si="21"/>
        <v>S</v>
      </c>
      <c r="AA411" s="66"/>
      <c r="AB411" s="66"/>
      <c r="AC411" s="66"/>
      <c r="AD411" s="172"/>
      <c r="AE411" s="172"/>
      <c r="AF411" s="172"/>
      <c r="AG411" s="172"/>
      <c r="AH411" s="172"/>
      <c r="AI411" s="172"/>
      <c r="AJ411" s="172"/>
      <c r="AK411" s="172"/>
      <c r="AL411" s="172"/>
    </row>
    <row r="412" spans="1:38" s="45" customFormat="1">
      <c r="A412" s="53">
        <v>46</v>
      </c>
      <c r="B412" s="60" t="s">
        <v>45</v>
      </c>
      <c r="C412" s="60">
        <v>1984</v>
      </c>
      <c r="D412" s="60" t="s">
        <v>113</v>
      </c>
      <c r="E412" s="56" t="s">
        <v>49</v>
      </c>
      <c r="F412" s="54">
        <v>1983</v>
      </c>
      <c r="G412" s="54" t="s">
        <v>116</v>
      </c>
      <c r="H412" s="54" t="s">
        <v>95</v>
      </c>
      <c r="I412" s="54"/>
      <c r="J412" s="54" t="s">
        <v>1013</v>
      </c>
      <c r="K412" s="54" t="s">
        <v>1134</v>
      </c>
      <c r="L412" s="54" t="s">
        <v>117</v>
      </c>
      <c r="M412" s="54"/>
      <c r="N412" s="54"/>
      <c r="O412" s="54" t="s">
        <v>119</v>
      </c>
      <c r="P412" s="54"/>
      <c r="Q412" s="54">
        <v>0.66</v>
      </c>
      <c r="R412" s="54">
        <f>+Q412</f>
        <v>0.66</v>
      </c>
      <c r="S412" s="54"/>
      <c r="T412" s="54"/>
      <c r="U412" s="54"/>
      <c r="V412" s="54"/>
      <c r="W412" s="54"/>
      <c r="X412" s="66">
        <f t="shared" si="20"/>
        <v>0.66</v>
      </c>
      <c r="Y412" s="71">
        <v>358</v>
      </c>
      <c r="Z412" s="192" t="str">
        <f t="shared" si="21"/>
        <v>S</v>
      </c>
      <c r="AA412" s="66"/>
      <c r="AB412" s="66"/>
      <c r="AC412" s="66"/>
      <c r="AD412" s="172"/>
      <c r="AE412" s="172"/>
      <c r="AF412" s="172"/>
      <c r="AG412" s="172"/>
      <c r="AH412" s="172"/>
      <c r="AI412" s="172"/>
      <c r="AJ412" s="172"/>
      <c r="AK412" s="172"/>
      <c r="AL412" s="172"/>
    </row>
    <row r="413" spans="1:38" s="45" customFormat="1">
      <c r="A413" s="53"/>
      <c r="B413" s="290" t="s">
        <v>1276</v>
      </c>
      <c r="C413" s="291">
        <v>1989</v>
      </c>
      <c r="D413" s="66"/>
      <c r="E413" s="60" t="s">
        <v>49</v>
      </c>
      <c r="F413" s="54"/>
      <c r="G413" s="54"/>
      <c r="H413" s="54"/>
      <c r="I413" s="54"/>
      <c r="J413" s="294" t="s">
        <v>1013</v>
      </c>
      <c r="K413" s="294" t="s">
        <v>1002</v>
      </c>
      <c r="L413" s="163"/>
      <c r="M413" s="54"/>
      <c r="N413" s="54"/>
      <c r="O413" t="s">
        <v>1239</v>
      </c>
      <c r="P413" s="54"/>
      <c r="Q413" s="54"/>
      <c r="R413">
        <v>0.64300000000000002</v>
      </c>
      <c r="S413" s="54"/>
      <c r="T413" s="54"/>
      <c r="U413" s="54"/>
      <c r="V413" s="54"/>
      <c r="W413" s="54"/>
      <c r="X413" s="66">
        <f t="shared" si="20"/>
        <v>0.64300000000000002</v>
      </c>
      <c r="Y413">
        <v>358</v>
      </c>
      <c r="Z413" s="192" t="str">
        <f t="shared" si="21"/>
        <v>S</v>
      </c>
      <c r="AA413" s="66"/>
      <c r="AB413" s="66"/>
      <c r="AC413" s="66"/>
      <c r="AD413" s="172"/>
      <c r="AE413" s="172"/>
      <c r="AF413" s="172"/>
      <c r="AG413" s="172"/>
      <c r="AH413" s="172"/>
      <c r="AI413" s="172"/>
      <c r="AJ413" s="172"/>
      <c r="AK413" s="172"/>
      <c r="AL413" s="172"/>
    </row>
    <row r="414" spans="1:38" s="45" customFormat="1">
      <c r="A414" s="53">
        <v>46</v>
      </c>
      <c r="B414" s="60" t="s">
        <v>45</v>
      </c>
      <c r="C414" s="60">
        <v>1984</v>
      </c>
      <c r="D414" s="60" t="s">
        <v>113</v>
      </c>
      <c r="E414" s="56" t="s">
        <v>49</v>
      </c>
      <c r="F414" s="54">
        <v>1983</v>
      </c>
      <c r="G414" s="54" t="s">
        <v>116</v>
      </c>
      <c r="H414" s="54" t="s">
        <v>95</v>
      </c>
      <c r="I414" s="54"/>
      <c r="J414" s="54" t="s">
        <v>1013</v>
      </c>
      <c r="K414" s="54" t="s">
        <v>1134</v>
      </c>
      <c r="L414" s="54" t="s">
        <v>117</v>
      </c>
      <c r="M414" s="54"/>
      <c r="N414" s="54"/>
      <c r="O414" s="54" t="s">
        <v>118</v>
      </c>
      <c r="P414" s="54"/>
      <c r="Q414" s="54">
        <v>0.63</v>
      </c>
      <c r="R414" s="54">
        <f>+Q414</f>
        <v>0.63</v>
      </c>
      <c r="S414" s="54"/>
      <c r="T414" s="54"/>
      <c r="U414" s="54"/>
      <c r="V414" s="54"/>
      <c r="W414" s="54"/>
      <c r="X414" s="66">
        <f t="shared" si="20"/>
        <v>0.63</v>
      </c>
      <c r="Y414" s="71">
        <v>359</v>
      </c>
      <c r="Z414" s="192" t="str">
        <f t="shared" si="21"/>
        <v>S</v>
      </c>
      <c r="AA414" s="66"/>
      <c r="AB414" s="66"/>
      <c r="AC414" s="66"/>
      <c r="AD414" s="172"/>
      <c r="AE414" s="172"/>
      <c r="AF414" s="172"/>
      <c r="AG414" s="172"/>
      <c r="AH414" s="172"/>
      <c r="AI414" s="172"/>
      <c r="AJ414" s="172"/>
      <c r="AK414" s="172"/>
      <c r="AL414" s="172"/>
    </row>
    <row r="415" spans="1:38" s="107" customFormat="1">
      <c r="A415" s="97">
        <v>121</v>
      </c>
      <c r="B415" s="103" t="s">
        <v>427</v>
      </c>
      <c r="C415" s="103">
        <v>2002</v>
      </c>
      <c r="D415" s="103" t="s">
        <v>428</v>
      </c>
      <c r="E415" s="99" t="s">
        <v>430</v>
      </c>
      <c r="F415" s="98">
        <v>2002</v>
      </c>
      <c r="G415" s="98" t="s">
        <v>439</v>
      </c>
      <c r="H415" s="98" t="s">
        <v>159</v>
      </c>
      <c r="I415" s="98"/>
      <c r="J415" s="98" t="s">
        <v>1051</v>
      </c>
      <c r="K415" s="98" t="s">
        <v>1139</v>
      </c>
      <c r="L415" s="98" t="s">
        <v>435</v>
      </c>
      <c r="M415" s="98" t="s">
        <v>725</v>
      </c>
      <c r="N415" s="98" t="s">
        <v>441</v>
      </c>
      <c r="O415" s="98" t="s">
        <v>447</v>
      </c>
      <c r="P415" s="98"/>
      <c r="Q415" s="98"/>
      <c r="R415" s="98"/>
      <c r="S415" s="98"/>
      <c r="T415" s="98"/>
      <c r="U415" s="98"/>
      <c r="V415" s="98"/>
      <c r="W415" s="98"/>
      <c r="X415" s="101" t="str">
        <f t="shared" ref="X415:X428" si="22">IF(R415&lt;&gt;0,IF(R415&gt;1,R415/100,R415),IF(U415&lt;&gt;0,IF(U415&gt;1,U415/100,U415),""))</f>
        <v/>
      </c>
      <c r="Y415" s="122">
        <v>157</v>
      </c>
      <c r="Z415" s="106" t="str">
        <f t="shared" ref="Z415:Z435" si="23">IF(X415&lt;&gt;"",IF(X415&lt;0.9,"S","F"),"")</f>
        <v/>
      </c>
      <c r="AA415" s="187"/>
      <c r="AB415" s="188" t="s">
        <v>1206</v>
      </c>
      <c r="AC415" s="188" t="s">
        <v>1207</v>
      </c>
      <c r="AD415" s="188" t="s">
        <v>1208</v>
      </c>
      <c r="AE415" s="188" t="s">
        <v>1209</v>
      </c>
      <c r="AF415" s="188" t="s">
        <v>1210</v>
      </c>
      <c r="AG415" s="188" t="s">
        <v>1211</v>
      </c>
      <c r="AH415" s="174"/>
      <c r="AI415" s="174"/>
      <c r="AJ415" s="174"/>
      <c r="AK415" s="174"/>
      <c r="AL415" s="174"/>
    </row>
    <row r="416" spans="1:38" s="107" customFormat="1">
      <c r="A416" s="97">
        <v>121</v>
      </c>
      <c r="B416" s="103" t="s">
        <v>427</v>
      </c>
      <c r="C416" s="103">
        <v>2002</v>
      </c>
      <c r="D416" s="103" t="s">
        <v>428</v>
      </c>
      <c r="E416" s="99" t="s">
        <v>430</v>
      </c>
      <c r="F416" s="98">
        <v>2002</v>
      </c>
      <c r="G416" s="98" t="s">
        <v>431</v>
      </c>
      <c r="H416" s="98" t="s">
        <v>159</v>
      </c>
      <c r="I416" s="98"/>
      <c r="J416" s="98" t="s">
        <v>1051</v>
      </c>
      <c r="K416" s="98" t="s">
        <v>1139</v>
      </c>
      <c r="L416" s="98" t="s">
        <v>432</v>
      </c>
      <c r="M416" s="98" t="s">
        <v>1177</v>
      </c>
      <c r="N416" s="98" t="s">
        <v>1178</v>
      </c>
      <c r="O416" s="98" t="s">
        <v>433</v>
      </c>
      <c r="P416" s="98"/>
      <c r="Q416" s="98"/>
      <c r="R416" s="98"/>
      <c r="S416" s="98"/>
      <c r="T416" s="98"/>
      <c r="U416" s="98"/>
      <c r="V416" s="98"/>
      <c r="W416" s="98"/>
      <c r="X416" s="101" t="str">
        <f t="shared" si="22"/>
        <v/>
      </c>
      <c r="Y416" s="122">
        <v>109</v>
      </c>
      <c r="Z416" s="106" t="str">
        <f t="shared" si="23"/>
        <v/>
      </c>
      <c r="AA416" s="188" t="s">
        <v>1051</v>
      </c>
      <c r="AB416" s="191">
        <f>AVERAGE($Y$415:$Y$420)</f>
        <v>100.15183333333333</v>
      </c>
      <c r="AC416" s="191">
        <f>MEDIAN($Y$415:$Y$420)</f>
        <v>118.5</v>
      </c>
      <c r="AD416" s="191">
        <f>MAX($Y$415:$Y$420)</f>
        <v>157</v>
      </c>
      <c r="AE416" s="191">
        <f>MIN($Y$415:$Y$420)</f>
        <v>8.9190000000000005</v>
      </c>
      <c r="AF416" s="191">
        <f>STDEV($Y$415:$Y$420)</f>
        <v>60.406109467227488</v>
      </c>
      <c r="AG416" s="188">
        <f>COUNT($Y$415:$Y$420)</f>
        <v>6</v>
      </c>
      <c r="AH416" s="174"/>
      <c r="AI416" s="174"/>
      <c r="AJ416" s="174"/>
      <c r="AK416" s="174"/>
      <c r="AL416" s="174"/>
    </row>
    <row r="417" spans="1:38" s="107" customFormat="1">
      <c r="A417" s="97">
        <v>121</v>
      </c>
      <c r="B417" s="103" t="s">
        <v>427</v>
      </c>
      <c r="C417" s="103">
        <v>2002</v>
      </c>
      <c r="D417" s="103" t="s">
        <v>428</v>
      </c>
      <c r="E417" s="99" t="s">
        <v>430</v>
      </c>
      <c r="F417" s="98">
        <v>2002</v>
      </c>
      <c r="G417" s="98" t="s">
        <v>439</v>
      </c>
      <c r="H417" s="98" t="s">
        <v>159</v>
      </c>
      <c r="I417" s="98"/>
      <c r="J417" s="98" t="s">
        <v>1051</v>
      </c>
      <c r="K417" s="98" t="s">
        <v>1160</v>
      </c>
      <c r="L417" s="98" t="s">
        <v>435</v>
      </c>
      <c r="M417" s="98" t="s">
        <v>725</v>
      </c>
      <c r="N417" s="98" t="s">
        <v>441</v>
      </c>
      <c r="O417" s="98" t="s">
        <v>442</v>
      </c>
      <c r="P417" s="98"/>
      <c r="Q417" s="98"/>
      <c r="R417" s="98"/>
      <c r="S417" s="98"/>
      <c r="T417" s="98"/>
      <c r="U417" s="98"/>
      <c r="V417" s="98"/>
      <c r="W417" s="98"/>
      <c r="X417" s="101" t="str">
        <f t="shared" si="22"/>
        <v/>
      </c>
      <c r="Y417" s="122">
        <v>128</v>
      </c>
      <c r="Z417" s="106" t="str">
        <f t="shared" si="23"/>
        <v/>
      </c>
      <c r="AA417" s="101"/>
      <c r="AB417" s="101"/>
      <c r="AC417" s="101"/>
      <c r="AD417" s="174"/>
      <c r="AE417" s="174"/>
      <c r="AF417" s="174"/>
      <c r="AG417" s="174"/>
      <c r="AH417" s="174"/>
      <c r="AI417" s="174"/>
      <c r="AJ417" s="174"/>
      <c r="AK417" s="174"/>
      <c r="AL417" s="174"/>
    </row>
    <row r="418" spans="1:38" s="107" customFormat="1">
      <c r="A418" s="97">
        <v>121</v>
      </c>
      <c r="B418" s="103" t="s">
        <v>427</v>
      </c>
      <c r="C418" s="103">
        <v>2002</v>
      </c>
      <c r="D418" s="103" t="s">
        <v>428</v>
      </c>
      <c r="E418" s="99" t="s">
        <v>430</v>
      </c>
      <c r="F418" s="98">
        <v>2002</v>
      </c>
      <c r="G418" s="98" t="s">
        <v>439</v>
      </c>
      <c r="H418" s="98" t="s">
        <v>159</v>
      </c>
      <c r="I418" s="98"/>
      <c r="J418" s="98" t="s">
        <v>1051</v>
      </c>
      <c r="K418" s="98" t="s">
        <v>1160</v>
      </c>
      <c r="L418" s="98" t="s">
        <v>435</v>
      </c>
      <c r="M418" s="98" t="s">
        <v>725</v>
      </c>
      <c r="N418" s="98" t="s">
        <v>441</v>
      </c>
      <c r="O418" s="98" t="s">
        <v>446</v>
      </c>
      <c r="P418" s="98"/>
      <c r="Q418" s="98"/>
      <c r="R418" s="98"/>
      <c r="S418" s="98"/>
      <c r="T418" s="98"/>
      <c r="U418" s="98"/>
      <c r="V418" s="98"/>
      <c r="W418" s="98"/>
      <c r="X418" s="101" t="str">
        <f t="shared" si="22"/>
        <v/>
      </c>
      <c r="Y418" s="122">
        <v>153</v>
      </c>
      <c r="Z418" s="106" t="str">
        <f t="shared" si="23"/>
        <v/>
      </c>
      <c r="AA418" s="101"/>
      <c r="AB418" s="101"/>
      <c r="AC418" s="101"/>
      <c r="AD418" s="174"/>
      <c r="AE418" s="174"/>
      <c r="AF418" s="174"/>
      <c r="AG418" s="174"/>
      <c r="AH418" s="174"/>
      <c r="AI418" s="174"/>
      <c r="AJ418" s="174"/>
      <c r="AK418" s="174"/>
      <c r="AL418" s="174"/>
    </row>
    <row r="419" spans="1:38" s="107" customFormat="1">
      <c r="A419" s="97">
        <v>182</v>
      </c>
      <c r="B419" s="178" t="s">
        <v>875</v>
      </c>
      <c r="C419" s="98">
        <v>2010</v>
      </c>
      <c r="D419" s="123" t="s">
        <v>876</v>
      </c>
      <c r="E419" s="99" t="s">
        <v>20</v>
      </c>
      <c r="F419" s="98">
        <v>2008</v>
      </c>
      <c r="G419" s="98" t="s">
        <v>879</v>
      </c>
      <c r="H419" s="98" t="s">
        <v>880</v>
      </c>
      <c r="I419" s="98"/>
      <c r="J419" s="101" t="s">
        <v>1051</v>
      </c>
      <c r="K419" s="98" t="s">
        <v>1117</v>
      </c>
      <c r="L419" s="98" t="s">
        <v>1164</v>
      </c>
      <c r="M419" s="98"/>
      <c r="N419" s="98"/>
      <c r="O419" s="98" t="s">
        <v>883</v>
      </c>
      <c r="P419" s="98"/>
      <c r="Q419" s="98"/>
      <c r="R419" s="98">
        <v>0.92</v>
      </c>
      <c r="S419" s="98"/>
      <c r="T419" s="98"/>
      <c r="U419" s="98"/>
      <c r="V419" s="98"/>
      <c r="W419" s="98"/>
      <c r="X419" s="101">
        <f t="shared" si="22"/>
        <v>0.92</v>
      </c>
      <c r="Y419" s="122">
        <f>140.6*0.32</f>
        <v>44.991999999999997</v>
      </c>
      <c r="Z419" s="106" t="str">
        <f t="shared" si="23"/>
        <v>F</v>
      </c>
      <c r="AA419" s="101"/>
      <c r="AB419" s="101"/>
      <c r="AC419" s="101"/>
      <c r="AD419" s="174"/>
      <c r="AE419" s="174"/>
      <c r="AF419" s="174"/>
      <c r="AG419" s="174"/>
      <c r="AH419" s="174"/>
      <c r="AI419" s="174"/>
      <c r="AJ419" s="174"/>
      <c r="AK419" s="174"/>
      <c r="AL419" s="174"/>
    </row>
    <row r="420" spans="1:38" s="107" customFormat="1">
      <c r="A420" s="97">
        <v>182</v>
      </c>
      <c r="B420" s="178" t="s">
        <v>875</v>
      </c>
      <c r="C420" s="98">
        <v>2010</v>
      </c>
      <c r="D420" s="123" t="s">
        <v>876</v>
      </c>
      <c r="E420" s="99" t="s">
        <v>20</v>
      </c>
      <c r="F420" s="98">
        <v>2008</v>
      </c>
      <c r="G420" s="98" t="s">
        <v>879</v>
      </c>
      <c r="H420" s="98" t="s">
        <v>880</v>
      </c>
      <c r="I420" s="98"/>
      <c r="J420" s="98" t="s">
        <v>1051</v>
      </c>
      <c r="K420" s="98" t="s">
        <v>1121</v>
      </c>
      <c r="L420" s="98" t="s">
        <v>1164</v>
      </c>
      <c r="M420" s="98"/>
      <c r="N420" s="98"/>
      <c r="O420" s="98" t="s">
        <v>884</v>
      </c>
      <c r="P420" s="98"/>
      <c r="Q420" s="98"/>
      <c r="R420" s="98">
        <v>0.86</v>
      </c>
      <c r="S420" s="98"/>
      <c r="T420" s="98"/>
      <c r="U420" s="98"/>
      <c r="V420" s="98"/>
      <c r="W420" s="98"/>
      <c r="X420" s="101">
        <f t="shared" si="22"/>
        <v>0.86</v>
      </c>
      <c r="Y420" s="122">
        <f>297.3*0.03</f>
        <v>8.9190000000000005</v>
      </c>
      <c r="Z420" s="106" t="str">
        <f t="shared" si="23"/>
        <v>S</v>
      </c>
      <c r="AA420" s="101"/>
      <c r="AB420" s="101"/>
      <c r="AC420" s="101"/>
      <c r="AD420" s="174"/>
      <c r="AE420" s="174"/>
      <c r="AF420" s="174"/>
      <c r="AG420" s="174"/>
      <c r="AH420" s="174"/>
      <c r="AI420" s="174"/>
      <c r="AJ420" s="174"/>
      <c r="AK420" s="174"/>
      <c r="AL420" s="174"/>
    </row>
    <row r="421" spans="1:38" s="45" customFormat="1">
      <c r="A421" s="53">
        <v>197</v>
      </c>
      <c r="B421" s="73" t="s">
        <v>875</v>
      </c>
      <c r="C421" s="54">
        <v>2007</v>
      </c>
      <c r="D421" s="73" t="s">
        <v>928</v>
      </c>
      <c r="E421" s="56" t="s">
        <v>20</v>
      </c>
      <c r="F421" s="54">
        <v>2003</v>
      </c>
      <c r="G421" s="54" t="s">
        <v>326</v>
      </c>
      <c r="H421" s="54" t="s">
        <v>159</v>
      </c>
      <c r="I421" s="54"/>
      <c r="J421" s="74" t="s">
        <v>1146</v>
      </c>
      <c r="K421" s="54" t="s">
        <v>1055</v>
      </c>
      <c r="L421" s="54" t="s">
        <v>755</v>
      </c>
      <c r="M421" s="54"/>
      <c r="N421" s="54"/>
      <c r="O421" s="54" t="s">
        <v>937</v>
      </c>
      <c r="P421" s="54">
        <v>0.98</v>
      </c>
      <c r="Q421" s="66"/>
      <c r="R421" s="66">
        <f>+P421</f>
        <v>0.98</v>
      </c>
      <c r="S421" s="66"/>
      <c r="T421" s="66"/>
      <c r="U421" s="66"/>
      <c r="V421" s="54">
        <v>11.7</v>
      </c>
      <c r="W421" s="66"/>
      <c r="X421" s="66">
        <f t="shared" si="22"/>
        <v>0.98</v>
      </c>
      <c r="Y421" s="206">
        <f>+V421</f>
        <v>11.7</v>
      </c>
      <c r="Z421" s="192" t="str">
        <f t="shared" si="23"/>
        <v>F</v>
      </c>
      <c r="AA421" s="195"/>
      <c r="AB421" s="196" t="s">
        <v>1206</v>
      </c>
      <c r="AC421" s="196" t="s">
        <v>1207</v>
      </c>
      <c r="AD421" s="196" t="s">
        <v>1208</v>
      </c>
      <c r="AE421" s="196" t="s">
        <v>1209</v>
      </c>
      <c r="AF421" s="196" t="s">
        <v>1210</v>
      </c>
      <c r="AG421" s="196" t="s">
        <v>1211</v>
      </c>
      <c r="AH421" s="172"/>
      <c r="AI421" s="172"/>
      <c r="AJ421" s="172"/>
      <c r="AK421" s="172"/>
      <c r="AL421" s="172"/>
    </row>
    <row r="422" spans="1:38" s="45" customFormat="1">
      <c r="A422" s="53">
        <v>118</v>
      </c>
      <c r="B422" s="73" t="s">
        <v>399</v>
      </c>
      <c r="C422" s="54">
        <v>1999</v>
      </c>
      <c r="D422" s="73" t="s">
        <v>400</v>
      </c>
      <c r="E422" s="56" t="s">
        <v>20</v>
      </c>
      <c r="F422" s="54">
        <v>1999</v>
      </c>
      <c r="G422" s="54" t="s">
        <v>326</v>
      </c>
      <c r="H422" s="54" t="s">
        <v>159</v>
      </c>
      <c r="I422" s="54"/>
      <c r="J422" s="74" t="s">
        <v>1146</v>
      </c>
      <c r="K422" s="54" t="s">
        <v>1055</v>
      </c>
      <c r="L422" s="54" t="s">
        <v>404</v>
      </c>
      <c r="M422" s="54"/>
      <c r="N422" s="54"/>
      <c r="O422" s="54">
        <v>11</v>
      </c>
      <c r="P422" s="54"/>
      <c r="Q422" s="54"/>
      <c r="R422" s="54"/>
      <c r="S422" s="54"/>
      <c r="T422" s="54"/>
      <c r="U422" s="54">
        <v>0.97</v>
      </c>
      <c r="V422" s="54"/>
      <c r="W422" s="54"/>
      <c r="X422" s="66">
        <f t="shared" si="22"/>
        <v>0.97</v>
      </c>
      <c r="Y422" s="71">
        <v>32</v>
      </c>
      <c r="Z422" s="192" t="str">
        <f t="shared" si="23"/>
        <v>F</v>
      </c>
      <c r="AA422" s="293" t="s">
        <v>1359</v>
      </c>
      <c r="AB422" s="299">
        <f>AVERAGE($Y$421:$Y$430)</f>
        <v>55.781890149000006</v>
      </c>
      <c r="AC422" s="299">
        <f>MEDIAN($Y$421:$Y$430)</f>
        <v>50.728541204999999</v>
      </c>
      <c r="AD422" s="299">
        <f>MAX($Y$421:$Y$430)</f>
        <v>115.3</v>
      </c>
      <c r="AE422" s="299">
        <f>MIN($Y$421:$Y$430)</f>
        <v>11.7</v>
      </c>
      <c r="AF422" s="299">
        <f>STDEV($Y$421:$Y$430)</f>
        <v>29.486847768782432</v>
      </c>
      <c r="AG422" s="300">
        <f>COUNT($Y$421:$Y$430)</f>
        <v>10</v>
      </c>
      <c r="AH422" s="172"/>
      <c r="AI422" s="172"/>
      <c r="AJ422" s="172"/>
      <c r="AK422" s="172"/>
      <c r="AL422" s="172"/>
    </row>
    <row r="423" spans="1:38" s="45" customFormat="1">
      <c r="A423" s="53">
        <v>181</v>
      </c>
      <c r="B423" s="54" t="s">
        <v>766</v>
      </c>
      <c r="C423" s="54">
        <v>2009</v>
      </c>
      <c r="D423" s="90" t="s">
        <v>767</v>
      </c>
      <c r="E423" s="84" t="s">
        <v>49</v>
      </c>
      <c r="F423" s="85" t="s">
        <v>788</v>
      </c>
      <c r="G423" s="54" t="s">
        <v>853</v>
      </c>
      <c r="H423" s="74" t="s">
        <v>790</v>
      </c>
      <c r="I423" s="74"/>
      <c r="J423" s="74" t="s">
        <v>1146</v>
      </c>
      <c r="K423" s="74" t="s">
        <v>1152</v>
      </c>
      <c r="L423" s="85" t="s">
        <v>791</v>
      </c>
      <c r="M423" s="85" t="s">
        <v>414</v>
      </c>
      <c r="N423" s="85"/>
      <c r="O423" s="85" t="s">
        <v>874</v>
      </c>
      <c r="P423" s="85"/>
      <c r="Q423" s="85"/>
      <c r="R423" s="54"/>
      <c r="S423" s="54"/>
      <c r="T423" s="54"/>
      <c r="U423" s="85">
        <v>0.96199999999999997</v>
      </c>
      <c r="V423" s="166"/>
      <c r="W423" s="166"/>
      <c r="X423" s="66">
        <f t="shared" si="22"/>
        <v>0.96199999999999997</v>
      </c>
      <c r="Y423" s="87">
        <v>44.38624944</v>
      </c>
      <c r="Z423" s="192" t="str">
        <f t="shared" si="23"/>
        <v>F</v>
      </c>
      <c r="AA423" s="196" t="s">
        <v>1360</v>
      </c>
      <c r="AB423" s="197">
        <f>AVERAGE($Y$421:$Y$428)</f>
        <v>45.002362686250002</v>
      </c>
      <c r="AC423" s="197">
        <f>MEDIAN($Y$421:$Y$428)</f>
        <v>43.19312472</v>
      </c>
      <c r="AD423" s="197">
        <f>MAX($Y$421:$Y$428)</f>
        <v>75.611242939999997</v>
      </c>
      <c r="AE423" s="197">
        <f>MIN($Y$421:$Y$428)</f>
        <v>11.7</v>
      </c>
      <c r="AF423" s="197">
        <f>STDEV($Y$421:$Y$428)</f>
        <v>19.418030020895834</v>
      </c>
      <c r="AG423" s="198">
        <f>COUNT($Y$421:$Y$428)</f>
        <v>8</v>
      </c>
      <c r="AH423" s="172"/>
      <c r="AI423" s="172"/>
      <c r="AJ423" s="172"/>
      <c r="AK423" s="172"/>
      <c r="AL423" s="172"/>
    </row>
    <row r="424" spans="1:38" s="45" customFormat="1">
      <c r="A424" s="53">
        <v>118</v>
      </c>
      <c r="B424" s="73" t="s">
        <v>399</v>
      </c>
      <c r="C424" s="54">
        <v>1999</v>
      </c>
      <c r="D424" s="73" t="s">
        <v>400</v>
      </c>
      <c r="E424" s="56" t="s">
        <v>20</v>
      </c>
      <c r="F424" s="54">
        <v>1999</v>
      </c>
      <c r="G424" s="54" t="s">
        <v>326</v>
      </c>
      <c r="H424" s="54" t="s">
        <v>159</v>
      </c>
      <c r="I424" s="54"/>
      <c r="J424" s="74" t="s">
        <v>1146</v>
      </c>
      <c r="K424" s="54" t="s">
        <v>1055</v>
      </c>
      <c r="L424" s="54" t="s">
        <v>404</v>
      </c>
      <c r="M424" s="54"/>
      <c r="N424" s="54"/>
      <c r="O424" s="54">
        <v>2</v>
      </c>
      <c r="P424" s="54"/>
      <c r="Q424" s="54"/>
      <c r="R424" s="54"/>
      <c r="S424" s="54"/>
      <c r="T424" s="54"/>
      <c r="U424" s="54">
        <v>0.96</v>
      </c>
      <c r="V424" s="54"/>
      <c r="W424" s="54"/>
      <c r="X424" s="66">
        <f t="shared" si="22"/>
        <v>0.96</v>
      </c>
      <c r="Y424" s="71">
        <v>37.6</v>
      </c>
      <c r="Z424" s="192" t="str">
        <f t="shared" si="23"/>
        <v>F</v>
      </c>
      <c r="AA424" s="196" t="s">
        <v>1361</v>
      </c>
      <c r="AB424" s="197">
        <f>AVERAGE($Y$429:$Y$430)</f>
        <v>98.9</v>
      </c>
      <c r="AC424" s="197">
        <f>MEDIAN($Y$429:$Y$430)</f>
        <v>98.9</v>
      </c>
      <c r="AD424" s="197">
        <f>MAX($Y$429:$Y$430)</f>
        <v>115.3</v>
      </c>
      <c r="AE424" s="197">
        <f>MIN($Y$429:$Y$430)</f>
        <v>82.5</v>
      </c>
      <c r="AF424" s="197">
        <f>STDEV($Y$429:$Y$430)</f>
        <v>23.19310242291872</v>
      </c>
      <c r="AG424" s="198">
        <f>COUNT($Y$429:$Y$430)</f>
        <v>2</v>
      </c>
      <c r="AH424" s="172"/>
      <c r="AI424" s="172"/>
      <c r="AJ424" s="172"/>
      <c r="AK424" s="172"/>
      <c r="AL424" s="172"/>
    </row>
    <row r="425" spans="1:38" s="45" customFormat="1">
      <c r="A425" s="53">
        <v>118</v>
      </c>
      <c r="B425" s="73" t="s">
        <v>399</v>
      </c>
      <c r="C425" s="54">
        <v>1999</v>
      </c>
      <c r="D425" s="73" t="s">
        <v>400</v>
      </c>
      <c r="E425" s="56" t="s">
        <v>20</v>
      </c>
      <c r="F425" s="54">
        <v>1999</v>
      </c>
      <c r="G425" s="54" t="s">
        <v>326</v>
      </c>
      <c r="H425" s="54" t="s">
        <v>159</v>
      </c>
      <c r="I425" s="54"/>
      <c r="J425" s="74" t="s">
        <v>1146</v>
      </c>
      <c r="K425" s="54" t="s">
        <v>1055</v>
      </c>
      <c r="L425" s="54" t="s">
        <v>404</v>
      </c>
      <c r="M425" s="54"/>
      <c r="N425" s="54"/>
      <c r="O425" s="54">
        <v>12</v>
      </c>
      <c r="P425" s="54"/>
      <c r="Q425" s="54"/>
      <c r="R425" s="54"/>
      <c r="S425" s="54"/>
      <c r="T425" s="54"/>
      <c r="U425" s="54">
        <v>0.96</v>
      </c>
      <c r="V425" s="54"/>
      <c r="W425" s="54"/>
      <c r="X425" s="66">
        <f t="shared" si="22"/>
        <v>0.96</v>
      </c>
      <c r="Y425" s="71">
        <v>42</v>
      </c>
      <c r="Z425" s="192" t="str">
        <f t="shared" si="23"/>
        <v>F</v>
      </c>
      <c r="AA425" s="66"/>
      <c r="AB425" s="66"/>
      <c r="AC425" s="66"/>
      <c r="AD425" s="172"/>
      <c r="AE425" s="172"/>
      <c r="AF425" s="172"/>
      <c r="AG425" s="172"/>
      <c r="AH425" s="172"/>
      <c r="AI425" s="172"/>
      <c r="AJ425" s="172"/>
      <c r="AK425" s="172"/>
      <c r="AL425" s="172"/>
    </row>
    <row r="426" spans="1:38" s="45" customFormat="1">
      <c r="A426" s="53">
        <v>181</v>
      </c>
      <c r="B426" s="54" t="s">
        <v>766</v>
      </c>
      <c r="C426" s="54">
        <v>2009</v>
      </c>
      <c r="D426" s="90" t="s">
        <v>767</v>
      </c>
      <c r="E426" s="84" t="s">
        <v>49</v>
      </c>
      <c r="F426" s="85" t="s">
        <v>788</v>
      </c>
      <c r="G426" s="54" t="s">
        <v>838</v>
      </c>
      <c r="H426" s="74" t="s">
        <v>790</v>
      </c>
      <c r="I426" s="74"/>
      <c r="J426" s="74" t="s">
        <v>1146</v>
      </c>
      <c r="K426" s="74" t="s">
        <v>1152</v>
      </c>
      <c r="L426" s="85" t="s">
        <v>791</v>
      </c>
      <c r="M426" s="85" t="s">
        <v>414</v>
      </c>
      <c r="N426" s="85"/>
      <c r="O426" s="85" t="s">
        <v>839</v>
      </c>
      <c r="P426" s="85"/>
      <c r="Q426" s="85"/>
      <c r="R426" s="54"/>
      <c r="S426" s="54"/>
      <c r="T426" s="54"/>
      <c r="U426" s="85">
        <v>0.95</v>
      </c>
      <c r="V426" s="166"/>
      <c r="W426" s="166"/>
      <c r="X426" s="66">
        <f t="shared" si="22"/>
        <v>0.95</v>
      </c>
      <c r="Y426" s="87">
        <v>57.070832969999998</v>
      </c>
      <c r="Z426" s="192" t="str">
        <f t="shared" si="23"/>
        <v>F</v>
      </c>
      <c r="AA426" s="66"/>
      <c r="AB426" s="66"/>
      <c r="AC426" s="66"/>
      <c r="AD426" s="172"/>
      <c r="AE426" s="172"/>
      <c r="AF426" s="172"/>
      <c r="AG426" s="172"/>
      <c r="AH426" s="172"/>
      <c r="AI426" s="172"/>
      <c r="AJ426" s="172"/>
      <c r="AK426" s="172"/>
      <c r="AL426" s="172"/>
    </row>
    <row r="427" spans="1:38" s="45" customFormat="1">
      <c r="A427" s="53">
        <v>181</v>
      </c>
      <c r="B427" s="54" t="s">
        <v>766</v>
      </c>
      <c r="C427" s="54">
        <v>2009</v>
      </c>
      <c r="D427" s="90" t="s">
        <v>767</v>
      </c>
      <c r="E427" s="84" t="s">
        <v>49</v>
      </c>
      <c r="F427" s="85" t="s">
        <v>788</v>
      </c>
      <c r="G427" s="54" t="s">
        <v>789</v>
      </c>
      <c r="H427" s="74" t="s">
        <v>790</v>
      </c>
      <c r="I427" s="74"/>
      <c r="J427" s="74" t="s">
        <v>1146</v>
      </c>
      <c r="K427" s="74" t="s">
        <v>1152</v>
      </c>
      <c r="L427" s="85" t="s">
        <v>791</v>
      </c>
      <c r="M427" s="85" t="s">
        <v>414</v>
      </c>
      <c r="N427" s="85"/>
      <c r="O427" s="85" t="s">
        <v>871</v>
      </c>
      <c r="P427" s="85"/>
      <c r="Q427" s="85"/>
      <c r="R427" s="54"/>
      <c r="S427" s="54"/>
      <c r="T427" s="54"/>
      <c r="U427" s="85">
        <v>0.94799999999999995</v>
      </c>
      <c r="V427" s="166"/>
      <c r="W427" s="166"/>
      <c r="X427" s="66">
        <f t="shared" si="22"/>
        <v>0.94799999999999995</v>
      </c>
      <c r="Y427" s="87">
        <v>59.650576139999998</v>
      </c>
      <c r="Z427" s="192" t="str">
        <f t="shared" si="23"/>
        <v>F</v>
      </c>
      <c r="AA427" s="66"/>
      <c r="AB427" s="66"/>
      <c r="AC427" s="66"/>
      <c r="AD427" s="172"/>
      <c r="AE427" s="172"/>
      <c r="AF427" s="172"/>
      <c r="AG427" s="172"/>
      <c r="AH427" s="172"/>
      <c r="AI427" s="172"/>
      <c r="AJ427" s="172"/>
      <c r="AK427" s="172"/>
      <c r="AL427" s="172"/>
    </row>
    <row r="428" spans="1:38" s="45" customFormat="1">
      <c r="A428" s="53">
        <v>181</v>
      </c>
      <c r="B428" s="54" t="s">
        <v>766</v>
      </c>
      <c r="C428" s="54">
        <v>2009</v>
      </c>
      <c r="D428" s="90" t="s">
        <v>767</v>
      </c>
      <c r="E428" s="84" t="s">
        <v>49</v>
      </c>
      <c r="F428" s="85" t="s">
        <v>788</v>
      </c>
      <c r="G428" s="54" t="s">
        <v>789</v>
      </c>
      <c r="H428" s="74" t="s">
        <v>790</v>
      </c>
      <c r="I428" s="74"/>
      <c r="J428" s="74" t="s">
        <v>1146</v>
      </c>
      <c r="K428" s="74" t="s">
        <v>1152</v>
      </c>
      <c r="L428" s="85" t="s">
        <v>791</v>
      </c>
      <c r="M428" s="85" t="s">
        <v>414</v>
      </c>
      <c r="N428" s="85"/>
      <c r="O428" s="85" t="s">
        <v>792</v>
      </c>
      <c r="P428" s="85"/>
      <c r="Q428" s="85"/>
      <c r="R428" s="54"/>
      <c r="S428" s="54"/>
      <c r="T428" s="54"/>
      <c r="U428" s="85">
        <v>0.93300000000000005</v>
      </c>
      <c r="V428" s="166"/>
      <c r="W428" s="166"/>
      <c r="X428" s="66">
        <f t="shared" si="22"/>
        <v>0.93300000000000005</v>
      </c>
      <c r="Y428" s="87">
        <v>75.611242939999997</v>
      </c>
      <c r="Z428" s="192" t="str">
        <f t="shared" si="23"/>
        <v>F</v>
      </c>
      <c r="AA428" s="66"/>
      <c r="AB428" s="66"/>
      <c r="AC428" s="66"/>
      <c r="AD428" s="172"/>
      <c r="AE428" s="172"/>
      <c r="AF428" s="172"/>
      <c r="AG428" s="172"/>
      <c r="AH428" s="172"/>
      <c r="AI428" s="172"/>
      <c r="AJ428" s="172"/>
      <c r="AK428" s="172"/>
      <c r="AL428" s="172"/>
    </row>
    <row r="429" spans="1:38" s="45" customFormat="1">
      <c r="A429" s="53">
        <v>174</v>
      </c>
      <c r="B429" s="54" t="s">
        <v>697</v>
      </c>
      <c r="C429" s="54">
        <v>2009</v>
      </c>
      <c r="D429" s="78" t="s">
        <v>698</v>
      </c>
      <c r="E429" s="56" t="s">
        <v>20</v>
      </c>
      <c r="F429" s="57" t="s">
        <v>701</v>
      </c>
      <c r="G429" s="54" t="s">
        <v>705</v>
      </c>
      <c r="H429" s="54" t="s">
        <v>159</v>
      </c>
      <c r="I429" s="54"/>
      <c r="J429" s="54" t="s">
        <v>1146</v>
      </c>
      <c r="K429" s="54" t="s">
        <v>1055</v>
      </c>
      <c r="L429" s="54" t="s">
        <v>755</v>
      </c>
      <c r="M429" s="59"/>
      <c r="N429" s="59"/>
      <c r="O429" s="54" t="s">
        <v>755</v>
      </c>
      <c r="P429" s="60"/>
      <c r="Q429" s="60"/>
      <c r="R429" s="54"/>
      <c r="S429" s="54"/>
      <c r="T429" s="54"/>
      <c r="U429" s="61">
        <v>0.86299999999999999</v>
      </c>
      <c r="V429" s="61"/>
      <c r="W429" s="61"/>
      <c r="X429" s="66">
        <f t="shared" ref="X429:X516" si="24">IF(R429&lt;&gt;0,IF(R429&gt;1,R429/100,R429),IF(U429&lt;&gt;0,IF(U429&gt;1,U429/100,U429),""))</f>
        <v>0.86299999999999999</v>
      </c>
      <c r="Y429" s="71">
        <v>115.3</v>
      </c>
      <c r="Z429" s="192" t="str">
        <f t="shared" si="23"/>
        <v>S</v>
      </c>
      <c r="AA429" s="66"/>
      <c r="AB429" s="66"/>
      <c r="AC429" s="66"/>
      <c r="AD429" s="172"/>
      <c r="AE429" s="172"/>
      <c r="AF429" s="172"/>
      <c r="AG429" s="172"/>
      <c r="AH429" s="172"/>
      <c r="AI429" s="172"/>
      <c r="AJ429" s="172"/>
      <c r="AK429" s="172"/>
      <c r="AL429" s="172"/>
    </row>
    <row r="430" spans="1:38" s="45" customFormat="1">
      <c r="A430" s="53">
        <v>197</v>
      </c>
      <c r="B430" s="73" t="s">
        <v>875</v>
      </c>
      <c r="C430" s="54">
        <v>2007</v>
      </c>
      <c r="D430" s="73" t="s">
        <v>928</v>
      </c>
      <c r="E430" s="56" t="s">
        <v>20</v>
      </c>
      <c r="F430" s="54">
        <v>2003</v>
      </c>
      <c r="G430" s="54" t="s">
        <v>326</v>
      </c>
      <c r="H430" s="54" t="s">
        <v>159</v>
      </c>
      <c r="I430" s="54"/>
      <c r="J430" s="74" t="s">
        <v>1146</v>
      </c>
      <c r="K430" s="54" t="s">
        <v>1055</v>
      </c>
      <c r="L430" s="54" t="s">
        <v>755</v>
      </c>
      <c r="M430" s="54"/>
      <c r="N430" s="54"/>
      <c r="O430" s="54" t="s">
        <v>937</v>
      </c>
      <c r="P430" s="66"/>
      <c r="Q430" s="54">
        <v>0.5</v>
      </c>
      <c r="R430" s="66">
        <f>+Q430</f>
        <v>0.5</v>
      </c>
      <c r="S430" s="66"/>
      <c r="T430" s="66"/>
      <c r="U430" s="66"/>
      <c r="V430" s="66"/>
      <c r="W430" s="54">
        <v>82.5</v>
      </c>
      <c r="X430" s="66">
        <f t="shared" si="24"/>
        <v>0.5</v>
      </c>
      <c r="Y430" s="206">
        <f>+W430</f>
        <v>82.5</v>
      </c>
      <c r="Z430" s="192" t="str">
        <f t="shared" si="23"/>
        <v>S</v>
      </c>
      <c r="AA430" s="66"/>
      <c r="AB430" s="66"/>
      <c r="AC430" s="66"/>
      <c r="AD430" s="172"/>
      <c r="AE430" s="172"/>
      <c r="AF430" s="172"/>
      <c r="AG430" s="172"/>
      <c r="AH430" s="172"/>
      <c r="AI430" s="172"/>
      <c r="AJ430" s="172"/>
      <c r="AK430" s="172"/>
      <c r="AL430" s="172"/>
    </row>
    <row r="431" spans="1:38" s="107" customFormat="1">
      <c r="A431" s="97">
        <v>121</v>
      </c>
      <c r="B431" s="103" t="s">
        <v>427</v>
      </c>
      <c r="C431" s="103">
        <v>2002</v>
      </c>
      <c r="D431" s="103" t="s">
        <v>428</v>
      </c>
      <c r="E431" s="99" t="s">
        <v>430</v>
      </c>
      <c r="F431" s="98">
        <v>2002</v>
      </c>
      <c r="G431" s="98" t="s">
        <v>452</v>
      </c>
      <c r="H431" s="98" t="s">
        <v>159</v>
      </c>
      <c r="I431" s="98"/>
      <c r="J431" s="98" t="s">
        <v>1062</v>
      </c>
      <c r="K431" s="98" t="s">
        <v>1141</v>
      </c>
      <c r="L431" s="98" t="s">
        <v>453</v>
      </c>
      <c r="M431" s="98" t="s">
        <v>454</v>
      </c>
      <c r="N431" s="109" t="s">
        <v>455</v>
      </c>
      <c r="O431" s="98" t="s">
        <v>456</v>
      </c>
      <c r="P431" s="98"/>
      <c r="Q431" s="98"/>
      <c r="R431" s="98"/>
      <c r="S431" s="98"/>
      <c r="T431" s="98"/>
      <c r="U431" s="98"/>
      <c r="V431" s="98"/>
      <c r="W431" s="98"/>
      <c r="X431" s="101" t="str">
        <f t="shared" si="24"/>
        <v/>
      </c>
      <c r="Y431" s="122">
        <v>155</v>
      </c>
      <c r="Z431" s="106" t="str">
        <f t="shared" si="23"/>
        <v/>
      </c>
      <c r="AA431" s="187"/>
      <c r="AB431" s="188" t="s">
        <v>1206</v>
      </c>
      <c r="AC431" s="188" t="s">
        <v>1207</v>
      </c>
      <c r="AD431" s="188" t="s">
        <v>1208</v>
      </c>
      <c r="AE431" s="188" t="s">
        <v>1209</v>
      </c>
      <c r="AF431" s="188" t="s">
        <v>1210</v>
      </c>
      <c r="AG431" s="188" t="s">
        <v>1211</v>
      </c>
      <c r="AH431" s="174"/>
      <c r="AI431" s="174"/>
      <c r="AJ431" s="174"/>
      <c r="AK431" s="174"/>
      <c r="AL431" s="174"/>
    </row>
    <row r="432" spans="1:38" s="107" customFormat="1">
      <c r="A432" s="97">
        <v>173</v>
      </c>
      <c r="B432" s="98" t="s">
        <v>585</v>
      </c>
      <c r="C432" s="98">
        <v>2011</v>
      </c>
      <c r="D432" s="108" t="s">
        <v>636</v>
      </c>
      <c r="E432" s="99" t="s">
        <v>638</v>
      </c>
      <c r="F432" s="100" t="s">
        <v>677</v>
      </c>
      <c r="G432" s="98" t="s">
        <v>678</v>
      </c>
      <c r="H432" s="98" t="s">
        <v>581</v>
      </c>
      <c r="I432" s="98"/>
      <c r="J432" s="101" t="s">
        <v>1062</v>
      </c>
      <c r="K432" s="98" t="s">
        <v>1078</v>
      </c>
      <c r="L432" s="98" t="s">
        <v>679</v>
      </c>
      <c r="M432" s="109"/>
      <c r="N432" s="109"/>
      <c r="O432" s="98" t="s">
        <v>680</v>
      </c>
      <c r="P432" s="103"/>
      <c r="Q432" s="103"/>
      <c r="R432" s="98"/>
      <c r="S432" s="98"/>
      <c r="T432" s="98"/>
      <c r="U432" s="104">
        <v>0.94</v>
      </c>
      <c r="V432" s="104"/>
      <c r="W432" s="104"/>
      <c r="X432" s="101">
        <f t="shared" si="24"/>
        <v>0.94</v>
      </c>
      <c r="Y432" s="122">
        <v>69</v>
      </c>
      <c r="Z432" s="106" t="str">
        <f t="shared" si="23"/>
        <v>F</v>
      </c>
      <c r="AA432" s="150" t="s">
        <v>1362</v>
      </c>
      <c r="AB432" s="151">
        <f>AVERAGE($Y$431:$Y$460)</f>
        <v>109.33921180966666</v>
      </c>
      <c r="AC432" s="151">
        <f>MEDIAN($Y$431:$Y$460)</f>
        <v>113</v>
      </c>
      <c r="AD432" s="151">
        <f>MAX($Y$431:$Y$460)</f>
        <v>326</v>
      </c>
      <c r="AE432" s="151">
        <f>MIN($Y$431:$Y$460)</f>
        <v>29</v>
      </c>
      <c r="AF432" s="151">
        <f>STDEV($Y$431:$Y$460)</f>
        <v>65.941597380782213</v>
      </c>
      <c r="AG432" s="307">
        <f>COUNT($Y$431:$Y$460)</f>
        <v>30</v>
      </c>
      <c r="AH432" s="174"/>
      <c r="AI432" s="174"/>
      <c r="AJ432" s="174"/>
      <c r="AK432" s="174"/>
      <c r="AL432" s="174"/>
    </row>
    <row r="433" spans="1:38" s="107" customFormat="1">
      <c r="A433" s="97">
        <v>181</v>
      </c>
      <c r="B433" s="98" t="s">
        <v>766</v>
      </c>
      <c r="C433" s="98">
        <v>2009</v>
      </c>
      <c r="D433" s="112" t="s">
        <v>767</v>
      </c>
      <c r="E433" s="113" t="s">
        <v>49</v>
      </c>
      <c r="F433" s="114" t="s">
        <v>788</v>
      </c>
      <c r="G433" s="98" t="s">
        <v>853</v>
      </c>
      <c r="H433" s="115" t="s">
        <v>790</v>
      </c>
      <c r="I433" s="115"/>
      <c r="J433" s="115" t="s">
        <v>1062</v>
      </c>
      <c r="K433" s="115" t="s">
        <v>1064</v>
      </c>
      <c r="L433" s="114" t="s">
        <v>782</v>
      </c>
      <c r="M433" s="114" t="s">
        <v>611</v>
      </c>
      <c r="N433" s="114"/>
      <c r="O433" s="114" t="s">
        <v>854</v>
      </c>
      <c r="P433" s="114"/>
      <c r="Q433" s="114"/>
      <c r="R433" s="98"/>
      <c r="S433" s="98"/>
      <c r="T433" s="98"/>
      <c r="U433" s="114">
        <v>0.95299999999999996</v>
      </c>
      <c r="V433" s="176"/>
      <c r="W433" s="176"/>
      <c r="X433" s="101">
        <f t="shared" si="24"/>
        <v>0.95299999999999996</v>
      </c>
      <c r="Y433" s="117">
        <v>54.006565090000002</v>
      </c>
      <c r="Z433" s="106" t="str">
        <f t="shared" si="23"/>
        <v>F</v>
      </c>
      <c r="AA433" s="188" t="s">
        <v>1308</v>
      </c>
      <c r="AB433" s="191">
        <f>AVERAGE($Y$431:$Y$443)</f>
        <v>55.321258022307688</v>
      </c>
      <c r="AC433" s="191">
        <f>MEDIAN($Y$431:$Y$443)</f>
        <v>48</v>
      </c>
      <c r="AD433" s="191">
        <f>MAX($Y$431:$Y$443)</f>
        <v>155</v>
      </c>
      <c r="AE433" s="191">
        <f>MIN($Y$431:$Y$443)</f>
        <v>29</v>
      </c>
      <c r="AF433" s="191">
        <f>STDEV($Y$431:$Y$443)</f>
        <v>33.323778052492273</v>
      </c>
      <c r="AG433" s="188">
        <f>COUNT($Y$431:$Y$443)</f>
        <v>13</v>
      </c>
      <c r="AH433" s="174"/>
      <c r="AI433" s="174"/>
      <c r="AJ433" s="174"/>
      <c r="AK433" s="174"/>
      <c r="AL433" s="174"/>
    </row>
    <row r="434" spans="1:38" s="107" customFormat="1">
      <c r="A434" s="97">
        <v>172</v>
      </c>
      <c r="B434" s="98" t="s">
        <v>585</v>
      </c>
      <c r="C434" s="98">
        <v>2010</v>
      </c>
      <c r="D434" s="98" t="s">
        <v>586</v>
      </c>
      <c r="E434" s="99" t="s">
        <v>589</v>
      </c>
      <c r="F434" s="100">
        <v>40225</v>
      </c>
      <c r="G434" s="98" t="s">
        <v>608</v>
      </c>
      <c r="H434" s="98" t="s">
        <v>581</v>
      </c>
      <c r="I434" s="98"/>
      <c r="J434" s="101" t="s">
        <v>1062</v>
      </c>
      <c r="K434" s="98" t="s">
        <v>1064</v>
      </c>
      <c r="L434" s="98" t="s">
        <v>611</v>
      </c>
      <c r="M434" s="102" t="s">
        <v>612</v>
      </c>
      <c r="N434" s="102" t="s">
        <v>613</v>
      </c>
      <c r="O434" s="98"/>
      <c r="P434" s="103"/>
      <c r="Q434" s="103"/>
      <c r="R434" s="98"/>
      <c r="S434" s="98"/>
      <c r="T434" s="98"/>
      <c r="U434" s="103">
        <v>0.97099999999999997</v>
      </c>
      <c r="V434" s="175"/>
      <c r="W434" s="175"/>
      <c r="X434" s="101">
        <f t="shared" si="24"/>
        <v>0.97099999999999997</v>
      </c>
      <c r="Y434" s="122">
        <v>32.700000000000003</v>
      </c>
      <c r="Z434" s="106" t="str">
        <f t="shared" si="23"/>
        <v>F</v>
      </c>
      <c r="AA434" s="188" t="s">
        <v>1309</v>
      </c>
      <c r="AB434" s="191">
        <f>AVERAGE($Y$444:$Y$460)</f>
        <v>150.64705882352942</v>
      </c>
      <c r="AC434" s="191">
        <f>MEDIAN($Y$444:$Y$460)</f>
        <v>148</v>
      </c>
      <c r="AD434" s="191">
        <f>MAX($Y$444:$Y$460)</f>
        <v>326</v>
      </c>
      <c r="AE434" s="191">
        <f>MIN($Y$444:$Y$460)</f>
        <v>71</v>
      </c>
      <c r="AF434" s="191">
        <f>STDEV($Y$444:$Y$460)</f>
        <v>53.522122968533537</v>
      </c>
      <c r="AG434" s="188">
        <f>COUNT($Y$444:$Y$460)</f>
        <v>17</v>
      </c>
      <c r="AH434" s="174"/>
      <c r="AI434" s="174"/>
      <c r="AJ434" s="174"/>
      <c r="AK434" s="174"/>
      <c r="AL434" s="174"/>
    </row>
    <row r="435" spans="1:38" s="107" customFormat="1">
      <c r="A435" s="97">
        <v>181</v>
      </c>
      <c r="B435" s="98" t="s">
        <v>766</v>
      </c>
      <c r="C435" s="98">
        <v>2009</v>
      </c>
      <c r="D435" s="112" t="s">
        <v>767</v>
      </c>
      <c r="E435" s="113" t="s">
        <v>49</v>
      </c>
      <c r="F435" s="114" t="s">
        <v>841</v>
      </c>
      <c r="G435" s="98" t="s">
        <v>842</v>
      </c>
      <c r="H435" s="115" t="s">
        <v>790</v>
      </c>
      <c r="I435" s="115"/>
      <c r="J435" s="115" t="s">
        <v>1062</v>
      </c>
      <c r="K435" s="115" t="s">
        <v>1063</v>
      </c>
      <c r="L435" s="114" t="s">
        <v>782</v>
      </c>
      <c r="M435" s="114" t="s">
        <v>855</v>
      </c>
      <c r="N435" s="114"/>
      <c r="O435" s="114" t="s">
        <v>856</v>
      </c>
      <c r="P435" s="114"/>
      <c r="Q435" s="114"/>
      <c r="R435" s="98"/>
      <c r="S435" s="98"/>
      <c r="T435" s="98"/>
      <c r="U435" s="114">
        <v>0.93600000000000005</v>
      </c>
      <c r="V435" s="176"/>
      <c r="W435" s="176"/>
      <c r="X435" s="101">
        <f t="shared" si="24"/>
        <v>0.93600000000000005</v>
      </c>
      <c r="Y435" s="117">
        <v>72.839789199999998</v>
      </c>
      <c r="Z435" s="106" t="str">
        <f t="shared" si="23"/>
        <v>F</v>
      </c>
      <c r="AA435" s="101"/>
      <c r="AB435" s="101"/>
      <c r="AC435" s="101"/>
      <c r="AD435" s="174"/>
      <c r="AE435" s="174"/>
      <c r="AF435" s="174"/>
      <c r="AG435" s="174"/>
      <c r="AH435" s="174"/>
      <c r="AI435" s="174"/>
      <c r="AJ435" s="174"/>
      <c r="AK435" s="174"/>
      <c r="AL435" s="174"/>
    </row>
    <row r="436" spans="1:38" s="107" customFormat="1">
      <c r="A436" s="97">
        <v>172</v>
      </c>
      <c r="B436" s="98" t="s">
        <v>585</v>
      </c>
      <c r="C436" s="98">
        <v>2010</v>
      </c>
      <c r="D436" s="98" t="s">
        <v>586</v>
      </c>
      <c r="E436" s="99" t="s">
        <v>589</v>
      </c>
      <c r="F436" s="100">
        <v>40226</v>
      </c>
      <c r="G436" s="98" t="s">
        <v>608</v>
      </c>
      <c r="H436" s="98" t="s">
        <v>581</v>
      </c>
      <c r="I436" s="98"/>
      <c r="J436" s="101" t="s">
        <v>1062</v>
      </c>
      <c r="K436" s="98" t="s">
        <v>1063</v>
      </c>
      <c r="L436" s="98" t="s">
        <v>614</v>
      </c>
      <c r="M436" s="102" t="s">
        <v>612</v>
      </c>
      <c r="N436" s="102" t="s">
        <v>615</v>
      </c>
      <c r="O436" s="98"/>
      <c r="P436" s="103"/>
      <c r="Q436" s="103"/>
      <c r="R436" s="98"/>
      <c r="S436" s="98"/>
      <c r="T436" s="98"/>
      <c r="U436" s="103">
        <v>0.96499999999999997</v>
      </c>
      <c r="V436" s="175"/>
      <c r="W436" s="175"/>
      <c r="X436" s="101">
        <f t="shared" si="24"/>
        <v>0.96499999999999997</v>
      </c>
      <c r="Y436" s="122">
        <v>40.630000000000003</v>
      </c>
      <c r="Z436" s="106" t="str">
        <f t="shared" ref="Z436:Z467" si="25">IF(X436&lt;&gt;"",IF(X436&lt;0.9,"S","F"),"")</f>
        <v>F</v>
      </c>
      <c r="AA436" s="101"/>
      <c r="AB436" s="101"/>
      <c r="AC436" s="101"/>
      <c r="AD436" s="174"/>
      <c r="AE436" s="174"/>
      <c r="AF436" s="174"/>
      <c r="AG436" s="174"/>
      <c r="AH436" s="174"/>
      <c r="AI436" s="174"/>
      <c r="AJ436" s="174"/>
      <c r="AK436" s="174"/>
      <c r="AL436" s="174"/>
    </row>
    <row r="437" spans="1:38" s="107" customFormat="1">
      <c r="A437" s="97"/>
      <c r="B437" s="258" t="s">
        <v>1276</v>
      </c>
      <c r="C437" s="259">
        <v>1989</v>
      </c>
      <c r="D437" s="101"/>
      <c r="E437" s="103" t="s">
        <v>49</v>
      </c>
      <c r="F437" s="114"/>
      <c r="G437" s="98"/>
      <c r="H437" s="115"/>
      <c r="I437" s="115"/>
      <c r="J437" s="292" t="s">
        <v>1062</v>
      </c>
      <c r="K437" s="292" t="s">
        <v>1283</v>
      </c>
      <c r="L437" s="98"/>
      <c r="M437" s="102"/>
      <c r="N437" s="102"/>
      <c r="O437" s="107" t="s">
        <v>1284</v>
      </c>
      <c r="P437" s="103"/>
      <c r="Q437" s="103"/>
      <c r="R437" s="107">
        <v>0.94299999999999995</v>
      </c>
      <c r="S437" s="98"/>
      <c r="T437" s="98"/>
      <c r="U437" s="103"/>
      <c r="V437" s="175"/>
      <c r="W437" s="175"/>
      <c r="X437" s="101">
        <f t="shared" si="24"/>
        <v>0.94299999999999995</v>
      </c>
      <c r="Y437" s="107">
        <v>29</v>
      </c>
      <c r="Z437" s="106" t="str">
        <f t="shared" si="25"/>
        <v>F</v>
      </c>
      <c r="AA437" s="101"/>
      <c r="AB437" s="101"/>
      <c r="AC437" s="101"/>
      <c r="AD437" s="174"/>
      <c r="AE437" s="174"/>
      <c r="AF437" s="174"/>
      <c r="AG437" s="174"/>
      <c r="AH437" s="174"/>
      <c r="AI437" s="174"/>
      <c r="AJ437" s="174"/>
      <c r="AK437" s="174"/>
      <c r="AL437" s="174"/>
    </row>
    <row r="438" spans="1:38" s="107" customFormat="1">
      <c r="A438" s="97"/>
      <c r="B438" s="258" t="s">
        <v>1276</v>
      </c>
      <c r="C438" s="259">
        <v>1989</v>
      </c>
      <c r="D438" s="101"/>
      <c r="E438" s="103" t="s">
        <v>49</v>
      </c>
      <c r="F438" s="114"/>
      <c r="G438" s="98"/>
      <c r="H438" s="115"/>
      <c r="I438" s="115"/>
      <c r="J438" s="292" t="s">
        <v>1062</v>
      </c>
      <c r="K438" s="292" t="s">
        <v>1283</v>
      </c>
      <c r="L438" s="98"/>
      <c r="M438" s="102"/>
      <c r="N438" s="102"/>
      <c r="O438" s="107" t="s">
        <v>1285</v>
      </c>
      <c r="P438" s="103"/>
      <c r="Q438" s="103"/>
      <c r="R438" s="107">
        <v>0.90900000000000003</v>
      </c>
      <c r="S438" s="98"/>
      <c r="T438" s="98"/>
      <c r="U438" s="103"/>
      <c r="V438" s="175"/>
      <c r="W438" s="175"/>
      <c r="X438" s="101">
        <f t="shared" si="24"/>
        <v>0.90900000000000003</v>
      </c>
      <c r="Y438" s="107">
        <v>48</v>
      </c>
      <c r="Z438" s="106" t="str">
        <f t="shared" si="25"/>
        <v>F</v>
      </c>
      <c r="AA438" s="101"/>
      <c r="AB438" s="101"/>
      <c r="AC438" s="101"/>
      <c r="AD438" s="174"/>
      <c r="AE438" s="174"/>
      <c r="AF438" s="174"/>
      <c r="AG438" s="174"/>
      <c r="AH438" s="174"/>
      <c r="AI438" s="174"/>
      <c r="AJ438" s="174"/>
      <c r="AK438" s="174"/>
      <c r="AL438" s="174"/>
    </row>
    <row r="439" spans="1:38" s="107" customFormat="1">
      <c r="A439" s="97"/>
      <c r="B439" s="258" t="s">
        <v>1276</v>
      </c>
      <c r="C439" s="259">
        <v>1989</v>
      </c>
      <c r="D439" s="101"/>
      <c r="E439" s="103" t="s">
        <v>49</v>
      </c>
      <c r="F439" s="114"/>
      <c r="G439" s="98"/>
      <c r="H439" s="115"/>
      <c r="I439" s="115"/>
      <c r="J439" s="292" t="s">
        <v>1062</v>
      </c>
      <c r="K439" s="292" t="s">
        <v>1283</v>
      </c>
      <c r="L439" s="98"/>
      <c r="M439" s="102"/>
      <c r="N439" s="102"/>
      <c r="O439" s="107" t="s">
        <v>1286</v>
      </c>
      <c r="P439" s="103"/>
      <c r="Q439" s="103"/>
      <c r="R439" s="107">
        <v>0.94599999999999995</v>
      </c>
      <c r="S439" s="98"/>
      <c r="T439" s="98"/>
      <c r="U439" s="103"/>
      <c r="V439" s="175"/>
      <c r="W439" s="175"/>
      <c r="X439" s="101">
        <f t="shared" si="24"/>
        <v>0.94599999999999995</v>
      </c>
      <c r="Y439" s="107">
        <v>30</v>
      </c>
      <c r="Z439" s="106" t="str">
        <f t="shared" si="25"/>
        <v>F</v>
      </c>
      <c r="AA439" s="101"/>
      <c r="AB439" s="101"/>
      <c r="AC439" s="101"/>
      <c r="AD439" s="174"/>
      <c r="AE439" s="174"/>
      <c r="AF439" s="174"/>
      <c r="AG439" s="174"/>
      <c r="AH439" s="174"/>
      <c r="AI439" s="174"/>
      <c r="AJ439" s="174"/>
      <c r="AK439" s="174"/>
      <c r="AL439" s="174"/>
    </row>
    <row r="440" spans="1:38" s="107" customFormat="1">
      <c r="A440" s="97"/>
      <c r="B440" s="258" t="s">
        <v>1276</v>
      </c>
      <c r="C440" s="259">
        <v>1989</v>
      </c>
      <c r="D440" s="101"/>
      <c r="E440" s="103" t="s">
        <v>49</v>
      </c>
      <c r="F440" s="114"/>
      <c r="G440" s="98"/>
      <c r="H440" s="115"/>
      <c r="I440" s="115"/>
      <c r="J440" s="292" t="s">
        <v>1062</v>
      </c>
      <c r="K440" s="292" t="s">
        <v>1283</v>
      </c>
      <c r="L440" s="98"/>
      <c r="M440" s="102"/>
      <c r="N440" s="102"/>
      <c r="O440" s="107" t="s">
        <v>1287</v>
      </c>
      <c r="P440" s="103"/>
      <c r="Q440" s="103"/>
      <c r="R440" s="107">
        <v>0.94</v>
      </c>
      <c r="S440" s="98"/>
      <c r="T440" s="98"/>
      <c r="U440" s="103"/>
      <c r="V440" s="175"/>
      <c r="W440" s="175"/>
      <c r="X440" s="101">
        <f t="shared" si="24"/>
        <v>0.94</v>
      </c>
      <c r="Y440" s="107">
        <v>33</v>
      </c>
      <c r="Z440" s="106" t="str">
        <f t="shared" si="25"/>
        <v>F</v>
      </c>
      <c r="AA440" s="101"/>
      <c r="AB440" s="101"/>
      <c r="AC440" s="101"/>
      <c r="AD440" s="174"/>
      <c r="AE440" s="174"/>
      <c r="AF440" s="174"/>
      <c r="AG440" s="174"/>
      <c r="AH440" s="174"/>
      <c r="AI440" s="174"/>
      <c r="AJ440" s="174"/>
      <c r="AK440" s="174"/>
      <c r="AL440" s="174"/>
    </row>
    <row r="441" spans="1:38" s="107" customFormat="1">
      <c r="A441" s="97"/>
      <c r="B441" s="258" t="s">
        <v>1276</v>
      </c>
      <c r="C441" s="259">
        <v>1989</v>
      </c>
      <c r="D441" s="101"/>
      <c r="E441" s="103" t="s">
        <v>49</v>
      </c>
      <c r="F441" s="114"/>
      <c r="G441" s="98"/>
      <c r="H441" s="115"/>
      <c r="I441" s="115"/>
      <c r="J441" s="292" t="s">
        <v>1062</v>
      </c>
      <c r="K441" s="292" t="s">
        <v>1283</v>
      </c>
      <c r="L441" s="98"/>
      <c r="M441" s="102"/>
      <c r="N441" s="102"/>
      <c r="O441" s="107" t="s">
        <v>1288</v>
      </c>
      <c r="P441" s="103"/>
      <c r="Q441" s="103"/>
      <c r="R441" s="107">
        <v>0.91200000000000003</v>
      </c>
      <c r="S441" s="98"/>
      <c r="T441" s="98"/>
      <c r="U441" s="103"/>
      <c r="V441" s="175"/>
      <c r="W441" s="175"/>
      <c r="X441" s="101">
        <f t="shared" si="24"/>
        <v>0.91200000000000003</v>
      </c>
      <c r="Y441" s="107">
        <v>58</v>
      </c>
      <c r="Z441" s="106" t="str">
        <f t="shared" si="25"/>
        <v>F</v>
      </c>
      <c r="AA441" s="101"/>
      <c r="AB441" s="101"/>
      <c r="AC441" s="101"/>
      <c r="AD441" s="174"/>
      <c r="AE441" s="174"/>
      <c r="AF441" s="174"/>
      <c r="AG441" s="174"/>
      <c r="AH441" s="174"/>
      <c r="AI441" s="174"/>
      <c r="AJ441" s="174"/>
      <c r="AK441" s="174"/>
      <c r="AL441" s="174"/>
    </row>
    <row r="442" spans="1:38" s="107" customFormat="1">
      <c r="A442" s="97"/>
      <c r="B442" s="258" t="s">
        <v>1276</v>
      </c>
      <c r="C442" s="259">
        <v>1989</v>
      </c>
      <c r="D442" s="101"/>
      <c r="E442" s="103" t="s">
        <v>49</v>
      </c>
      <c r="F442" s="114"/>
      <c r="G442" s="98"/>
      <c r="H442" s="115"/>
      <c r="I442" s="115"/>
      <c r="J442" s="292" t="s">
        <v>1062</v>
      </c>
      <c r="K442" s="292" t="s">
        <v>1283</v>
      </c>
      <c r="L442" s="98"/>
      <c r="M442" s="102"/>
      <c r="N442" s="102"/>
      <c r="O442" s="107" t="s">
        <v>1290</v>
      </c>
      <c r="P442" s="103"/>
      <c r="Q442" s="103"/>
      <c r="R442" s="107">
        <v>0.91900000000000004</v>
      </c>
      <c r="S442" s="98"/>
      <c r="T442" s="98"/>
      <c r="U442" s="103"/>
      <c r="V442" s="175"/>
      <c r="W442" s="175"/>
      <c r="X442" s="101">
        <f t="shared" si="24"/>
        <v>0.91900000000000004</v>
      </c>
      <c r="Y442" s="107">
        <v>58</v>
      </c>
      <c r="Z442" s="106" t="str">
        <f t="shared" si="25"/>
        <v>F</v>
      </c>
      <c r="AA442" s="101"/>
      <c r="AB442" s="101"/>
      <c r="AC442" s="101"/>
      <c r="AD442" s="174"/>
      <c r="AE442" s="174"/>
      <c r="AF442" s="174"/>
      <c r="AG442" s="174"/>
      <c r="AH442" s="174"/>
      <c r="AI442" s="174"/>
      <c r="AJ442" s="174"/>
      <c r="AK442" s="174"/>
      <c r="AL442" s="174"/>
    </row>
    <row r="443" spans="1:38" s="107" customFormat="1">
      <c r="A443" s="97"/>
      <c r="B443" s="258" t="s">
        <v>1276</v>
      </c>
      <c r="C443" s="259">
        <v>1989</v>
      </c>
      <c r="D443" s="101"/>
      <c r="E443" s="103" t="s">
        <v>49</v>
      </c>
      <c r="F443" s="114"/>
      <c r="G443" s="98"/>
      <c r="H443" s="115"/>
      <c r="I443" s="115"/>
      <c r="J443" s="292" t="s">
        <v>1062</v>
      </c>
      <c r="K443" s="292" t="s">
        <v>1283</v>
      </c>
      <c r="L443" s="98"/>
      <c r="M443" s="102"/>
      <c r="N443" s="102"/>
      <c r="O443" s="107" t="s">
        <v>1291</v>
      </c>
      <c r="P443" s="103"/>
      <c r="Q443" s="103"/>
      <c r="R443" s="107">
        <v>0.93200000000000005</v>
      </c>
      <c r="S443" s="98"/>
      <c r="T443" s="98"/>
      <c r="U443" s="103"/>
      <c r="V443" s="175"/>
      <c r="W443" s="175"/>
      <c r="X443" s="101">
        <f t="shared" si="24"/>
        <v>0.93200000000000005</v>
      </c>
      <c r="Y443" s="107">
        <v>39</v>
      </c>
      <c r="Z443" s="106" t="str">
        <f t="shared" si="25"/>
        <v>F</v>
      </c>
      <c r="AA443" s="101"/>
      <c r="AB443" s="101"/>
      <c r="AC443" s="101"/>
      <c r="AD443" s="174"/>
      <c r="AE443" s="174"/>
      <c r="AF443" s="174"/>
      <c r="AG443" s="174"/>
      <c r="AH443" s="174"/>
      <c r="AI443" s="174"/>
      <c r="AJ443" s="174"/>
      <c r="AK443" s="174"/>
      <c r="AL443" s="174"/>
    </row>
    <row r="444" spans="1:38" s="107" customFormat="1">
      <c r="A444" s="97"/>
      <c r="B444" s="258" t="s">
        <v>1276</v>
      </c>
      <c r="C444" s="259">
        <v>1989</v>
      </c>
      <c r="D444" s="101"/>
      <c r="E444" s="103" t="s">
        <v>49</v>
      </c>
      <c r="F444" s="114"/>
      <c r="G444" s="98"/>
      <c r="H444" s="115"/>
      <c r="I444" s="115"/>
      <c r="J444" s="292" t="s">
        <v>1062</v>
      </c>
      <c r="K444" s="292" t="s">
        <v>1283</v>
      </c>
      <c r="L444" s="98"/>
      <c r="M444" s="102"/>
      <c r="N444" s="102"/>
      <c r="O444" s="107" t="s">
        <v>1289</v>
      </c>
      <c r="P444" s="103"/>
      <c r="Q444" s="103"/>
      <c r="R444" s="107">
        <v>0.88700000000000001</v>
      </c>
      <c r="S444" s="98"/>
      <c r="T444" s="98"/>
      <c r="U444" s="103"/>
      <c r="V444" s="175"/>
      <c r="W444" s="175"/>
      <c r="X444" s="101">
        <f>IF(R444&lt;&gt;0,IF(R444&gt;1,R444/100,R444),IF(U444&lt;&gt;0,IF(U444&gt;1,U444/100,U444),""))</f>
        <v>0.88700000000000001</v>
      </c>
      <c r="Y444" s="107">
        <v>71</v>
      </c>
      <c r="Z444" s="106" t="str">
        <f>IF(X444&lt;&gt;"",IF(X444&lt;0.9,"S","F"),"")</f>
        <v>S</v>
      </c>
      <c r="AA444" s="101"/>
      <c r="AB444" s="101"/>
      <c r="AC444" s="101"/>
      <c r="AD444" s="174"/>
      <c r="AE444" s="174"/>
      <c r="AF444" s="174"/>
      <c r="AG444" s="174"/>
      <c r="AH444" s="174"/>
      <c r="AI444" s="174"/>
      <c r="AJ444" s="174"/>
      <c r="AK444" s="174"/>
      <c r="AL444" s="174"/>
    </row>
    <row r="445" spans="1:38" s="107" customFormat="1">
      <c r="A445" s="97"/>
      <c r="B445" s="258" t="s">
        <v>1276</v>
      </c>
      <c r="C445" s="259">
        <v>1989</v>
      </c>
      <c r="D445" s="101"/>
      <c r="E445" s="103" t="s">
        <v>49</v>
      </c>
      <c r="F445" s="114"/>
      <c r="G445" s="98"/>
      <c r="H445" s="115"/>
      <c r="I445" s="115"/>
      <c r="J445" s="292" t="s">
        <v>1062</v>
      </c>
      <c r="K445" s="292" t="s">
        <v>1283</v>
      </c>
      <c r="L445" s="98"/>
      <c r="M445" s="102"/>
      <c r="N445" s="102"/>
      <c r="O445" s="107" t="s">
        <v>1292</v>
      </c>
      <c r="P445" s="103"/>
      <c r="Q445" s="103"/>
      <c r="R445" s="107">
        <v>0.79900000000000004</v>
      </c>
      <c r="S445" s="98"/>
      <c r="T445" s="98"/>
      <c r="U445" s="103"/>
      <c r="V445" s="175"/>
      <c r="W445" s="175"/>
      <c r="X445" s="101">
        <f t="shared" si="24"/>
        <v>0.79900000000000004</v>
      </c>
      <c r="Y445" s="107">
        <v>170</v>
      </c>
      <c r="Z445" s="106" t="str">
        <f t="shared" si="25"/>
        <v>S</v>
      </c>
      <c r="AA445" s="101"/>
      <c r="AB445" s="101"/>
      <c r="AC445" s="101"/>
      <c r="AD445" s="174"/>
      <c r="AE445" s="174"/>
      <c r="AF445" s="174"/>
      <c r="AG445" s="174"/>
      <c r="AH445" s="174"/>
      <c r="AI445" s="174"/>
      <c r="AJ445" s="174"/>
      <c r="AK445" s="174"/>
      <c r="AL445" s="174"/>
    </row>
    <row r="446" spans="1:38" s="107" customFormat="1">
      <c r="A446" s="97"/>
      <c r="B446" s="258" t="s">
        <v>1276</v>
      </c>
      <c r="C446" s="259">
        <v>1989</v>
      </c>
      <c r="D446" s="101"/>
      <c r="E446" s="103" t="s">
        <v>49</v>
      </c>
      <c r="F446" s="114"/>
      <c r="G446" s="98"/>
      <c r="H446" s="115"/>
      <c r="I446" s="115"/>
      <c r="J446" s="292" t="s">
        <v>1062</v>
      </c>
      <c r="K446" s="292" t="s">
        <v>1283</v>
      </c>
      <c r="L446" s="98"/>
      <c r="M446" s="102"/>
      <c r="N446" s="102"/>
      <c r="O446" s="107" t="s">
        <v>1293</v>
      </c>
      <c r="P446" s="103"/>
      <c r="Q446" s="103"/>
      <c r="R446" s="107">
        <v>0.81100000000000005</v>
      </c>
      <c r="S446" s="98"/>
      <c r="T446" s="98"/>
      <c r="U446" s="103"/>
      <c r="V446" s="175"/>
      <c r="W446" s="175"/>
      <c r="X446" s="101">
        <f t="shared" si="24"/>
        <v>0.81100000000000005</v>
      </c>
      <c r="Y446" s="107">
        <v>152</v>
      </c>
      <c r="Z446" s="106" t="str">
        <f t="shared" si="25"/>
        <v>S</v>
      </c>
      <c r="AA446" s="101"/>
      <c r="AB446" s="101"/>
      <c r="AC446" s="101"/>
      <c r="AD446" s="174"/>
      <c r="AE446" s="174"/>
      <c r="AF446" s="174"/>
      <c r="AG446" s="174"/>
      <c r="AH446" s="174"/>
      <c r="AI446" s="174"/>
      <c r="AJ446" s="174"/>
      <c r="AK446" s="174"/>
      <c r="AL446" s="174"/>
    </row>
    <row r="447" spans="1:38" s="107" customFormat="1">
      <c r="A447" s="97"/>
      <c r="B447" s="258" t="s">
        <v>1276</v>
      </c>
      <c r="C447" s="259">
        <v>1989</v>
      </c>
      <c r="D447" s="101"/>
      <c r="E447" s="103" t="s">
        <v>49</v>
      </c>
      <c r="F447" s="114"/>
      <c r="G447" s="98"/>
      <c r="H447" s="115"/>
      <c r="I447" s="115"/>
      <c r="J447" s="292" t="s">
        <v>1062</v>
      </c>
      <c r="K447" s="292" t="s">
        <v>1283</v>
      </c>
      <c r="L447" s="98"/>
      <c r="M447" s="102"/>
      <c r="N447" s="102"/>
      <c r="O447" s="107" t="s">
        <v>1294</v>
      </c>
      <c r="P447" s="103"/>
      <c r="Q447" s="103"/>
      <c r="R447" s="107">
        <v>0.8</v>
      </c>
      <c r="S447" s="98"/>
      <c r="T447" s="98"/>
      <c r="U447" s="103"/>
      <c r="V447" s="175"/>
      <c r="W447" s="175"/>
      <c r="X447" s="101">
        <f t="shared" si="24"/>
        <v>0.8</v>
      </c>
      <c r="Y447" s="107">
        <v>160</v>
      </c>
      <c r="Z447" s="106" t="str">
        <f t="shared" si="25"/>
        <v>S</v>
      </c>
      <c r="AA447" s="101"/>
      <c r="AB447" s="101"/>
      <c r="AC447" s="101"/>
      <c r="AD447" s="174"/>
      <c r="AE447" s="174"/>
      <c r="AF447" s="174"/>
      <c r="AG447" s="174"/>
      <c r="AH447" s="174"/>
      <c r="AI447" s="174"/>
      <c r="AJ447" s="174"/>
      <c r="AK447" s="174"/>
      <c r="AL447" s="174"/>
    </row>
    <row r="448" spans="1:38" s="107" customFormat="1">
      <c r="A448" s="97"/>
      <c r="B448" s="258" t="s">
        <v>1276</v>
      </c>
      <c r="C448" s="259">
        <v>1989</v>
      </c>
      <c r="D448" s="101"/>
      <c r="E448" s="103" t="s">
        <v>49</v>
      </c>
      <c r="F448" s="114"/>
      <c r="G448" s="98"/>
      <c r="H448" s="115"/>
      <c r="I448" s="115"/>
      <c r="J448" s="292" t="s">
        <v>1062</v>
      </c>
      <c r="K448" s="292" t="s">
        <v>1283</v>
      </c>
      <c r="L448" s="98"/>
      <c r="M448" s="102"/>
      <c r="N448" s="102"/>
      <c r="O448" s="107" t="s">
        <v>1295</v>
      </c>
      <c r="P448" s="103"/>
      <c r="Q448" s="103"/>
      <c r="R448" s="107">
        <v>0.8</v>
      </c>
      <c r="S448" s="98"/>
      <c r="T448" s="98"/>
      <c r="U448" s="103"/>
      <c r="V448" s="175"/>
      <c r="W448" s="175"/>
      <c r="X448" s="101">
        <f t="shared" si="24"/>
        <v>0.8</v>
      </c>
      <c r="Y448" s="107">
        <v>165</v>
      </c>
      <c r="Z448" s="106" t="str">
        <f t="shared" si="25"/>
        <v>S</v>
      </c>
      <c r="AA448" s="101"/>
      <c r="AB448" s="101"/>
      <c r="AC448" s="101"/>
      <c r="AD448" s="174"/>
      <c r="AE448" s="174"/>
      <c r="AF448" s="174"/>
      <c r="AG448" s="174"/>
      <c r="AH448" s="174"/>
      <c r="AI448" s="174"/>
      <c r="AJ448" s="174"/>
      <c r="AK448" s="174"/>
      <c r="AL448" s="174"/>
    </row>
    <row r="449" spans="1:38" s="107" customFormat="1">
      <c r="A449" s="97"/>
      <c r="B449" s="258" t="s">
        <v>1276</v>
      </c>
      <c r="C449" s="259">
        <v>1989</v>
      </c>
      <c r="D449" s="101"/>
      <c r="E449" s="103" t="s">
        <v>49</v>
      </c>
      <c r="F449" s="114"/>
      <c r="G449" s="98"/>
      <c r="H449" s="115"/>
      <c r="I449" s="115"/>
      <c r="J449" s="292" t="s">
        <v>1062</v>
      </c>
      <c r="K449" s="292" t="s">
        <v>1283</v>
      </c>
      <c r="L449" s="98"/>
      <c r="M449" s="102"/>
      <c r="N449" s="102"/>
      <c r="O449" s="107" t="s">
        <v>1296</v>
      </c>
      <c r="P449" s="103"/>
      <c r="Q449" s="103"/>
      <c r="R449" s="107">
        <v>0.81200000000000006</v>
      </c>
      <c r="S449" s="98"/>
      <c r="T449" s="98"/>
      <c r="U449" s="103"/>
      <c r="V449" s="175"/>
      <c r="W449" s="175"/>
      <c r="X449" s="101">
        <f t="shared" si="24"/>
        <v>0.81200000000000006</v>
      </c>
      <c r="Y449" s="107">
        <v>148</v>
      </c>
      <c r="Z449" s="106" t="str">
        <f t="shared" si="25"/>
        <v>S</v>
      </c>
      <c r="AA449" s="101"/>
      <c r="AB449" s="101"/>
      <c r="AC449" s="101"/>
      <c r="AD449" s="174"/>
      <c r="AE449" s="174"/>
      <c r="AF449" s="174"/>
      <c r="AG449" s="174"/>
      <c r="AH449" s="174"/>
      <c r="AI449" s="174"/>
      <c r="AJ449" s="174"/>
      <c r="AK449" s="174"/>
      <c r="AL449" s="174"/>
    </row>
    <row r="450" spans="1:38" s="107" customFormat="1">
      <c r="A450" s="97"/>
      <c r="B450" s="258" t="s">
        <v>1276</v>
      </c>
      <c r="C450" s="259">
        <v>1989</v>
      </c>
      <c r="D450" s="101"/>
      <c r="E450" s="103" t="s">
        <v>49</v>
      </c>
      <c r="F450" s="114"/>
      <c r="G450" s="98"/>
      <c r="H450" s="115"/>
      <c r="I450" s="115"/>
      <c r="J450" s="292" t="s">
        <v>1062</v>
      </c>
      <c r="K450" s="292" t="s">
        <v>1283</v>
      </c>
      <c r="L450" s="98"/>
      <c r="M450" s="102"/>
      <c r="N450" s="102"/>
      <c r="O450" s="107" t="s">
        <v>1297</v>
      </c>
      <c r="P450" s="103"/>
      <c r="Q450" s="103"/>
      <c r="R450" s="139">
        <v>0.59899999999999998</v>
      </c>
      <c r="S450" s="98"/>
      <c r="T450" s="98"/>
      <c r="U450" s="103"/>
      <c r="V450" s="175"/>
      <c r="W450" s="175"/>
      <c r="X450" s="101">
        <f t="shared" si="24"/>
        <v>0.59899999999999998</v>
      </c>
      <c r="Y450" s="139">
        <v>326</v>
      </c>
      <c r="Z450" s="106" t="str">
        <f t="shared" si="25"/>
        <v>S</v>
      </c>
      <c r="AA450" s="101"/>
      <c r="AB450" s="101"/>
      <c r="AC450" s="101"/>
      <c r="AD450" s="174"/>
      <c r="AE450" s="174"/>
      <c r="AF450" s="174"/>
      <c r="AG450" s="174"/>
      <c r="AH450" s="174"/>
      <c r="AI450" s="174"/>
      <c r="AJ450" s="174"/>
      <c r="AK450" s="174"/>
      <c r="AL450" s="174"/>
    </row>
    <row r="451" spans="1:38" s="107" customFormat="1">
      <c r="A451" s="97"/>
      <c r="B451" s="258" t="s">
        <v>1276</v>
      </c>
      <c r="C451" s="259">
        <v>1989</v>
      </c>
      <c r="D451" s="101"/>
      <c r="E451" s="103" t="s">
        <v>49</v>
      </c>
      <c r="F451" s="114"/>
      <c r="G451" s="98"/>
      <c r="H451" s="115"/>
      <c r="I451" s="115"/>
      <c r="J451" s="292" t="s">
        <v>1062</v>
      </c>
      <c r="K451" s="292" t="s">
        <v>1283</v>
      </c>
      <c r="L451" s="98"/>
      <c r="M451" s="102"/>
      <c r="N451" s="102"/>
      <c r="O451" s="107" t="s">
        <v>1298</v>
      </c>
      <c r="P451" s="103"/>
      <c r="Q451" s="103"/>
      <c r="R451" s="107">
        <v>0.79900000000000004</v>
      </c>
      <c r="S451" s="98"/>
      <c r="T451" s="98"/>
      <c r="U451" s="103"/>
      <c r="V451" s="175"/>
      <c r="W451" s="175"/>
      <c r="X451" s="101">
        <f t="shared" si="24"/>
        <v>0.79900000000000004</v>
      </c>
      <c r="Y451" s="107">
        <v>167</v>
      </c>
      <c r="Z451" s="106" t="str">
        <f t="shared" si="25"/>
        <v>S</v>
      </c>
      <c r="AA451" s="101"/>
      <c r="AB451" s="101"/>
      <c r="AC451" s="101"/>
      <c r="AD451" s="174"/>
      <c r="AE451" s="174"/>
      <c r="AF451" s="174"/>
      <c r="AG451" s="174"/>
      <c r="AH451" s="174"/>
      <c r="AI451" s="174"/>
      <c r="AJ451" s="174"/>
      <c r="AK451" s="174"/>
      <c r="AL451" s="174"/>
    </row>
    <row r="452" spans="1:38" s="107" customFormat="1">
      <c r="A452" s="97"/>
      <c r="B452" s="258" t="s">
        <v>1276</v>
      </c>
      <c r="C452" s="259">
        <v>1989</v>
      </c>
      <c r="D452" s="101"/>
      <c r="E452" s="103" t="s">
        <v>49</v>
      </c>
      <c r="F452" s="114"/>
      <c r="G452" s="98"/>
      <c r="H452" s="115"/>
      <c r="I452" s="115"/>
      <c r="J452" s="292" t="s">
        <v>1062</v>
      </c>
      <c r="K452" s="292" t="s">
        <v>1283</v>
      </c>
      <c r="L452" s="98"/>
      <c r="M452" s="102"/>
      <c r="N452" s="102"/>
      <c r="O452" s="107" t="s">
        <v>1299</v>
      </c>
      <c r="P452" s="103"/>
      <c r="Q452" s="103"/>
      <c r="R452" s="107">
        <v>0.79500000000000004</v>
      </c>
      <c r="S452" s="98"/>
      <c r="T452" s="98"/>
      <c r="U452" s="103"/>
      <c r="V452" s="175"/>
      <c r="W452" s="175"/>
      <c r="X452" s="101">
        <f t="shared" si="24"/>
        <v>0.79500000000000004</v>
      </c>
      <c r="Y452" s="107">
        <v>176</v>
      </c>
      <c r="Z452" s="106" t="str">
        <f t="shared" si="25"/>
        <v>S</v>
      </c>
      <c r="AA452" s="101"/>
      <c r="AB452" s="101"/>
      <c r="AC452" s="101"/>
      <c r="AD452" s="174"/>
      <c r="AE452" s="174"/>
      <c r="AF452" s="174"/>
      <c r="AG452" s="174"/>
      <c r="AH452" s="174"/>
      <c r="AI452" s="174"/>
      <c r="AJ452" s="174"/>
      <c r="AK452" s="174"/>
      <c r="AL452" s="174"/>
    </row>
    <row r="453" spans="1:38" s="107" customFormat="1">
      <c r="A453" s="97"/>
      <c r="B453" s="258" t="s">
        <v>1276</v>
      </c>
      <c r="C453" s="259">
        <v>1989</v>
      </c>
      <c r="D453" s="101"/>
      <c r="E453" s="103" t="s">
        <v>49</v>
      </c>
      <c r="F453" s="114"/>
      <c r="G453" s="98"/>
      <c r="H453" s="115"/>
      <c r="I453" s="115"/>
      <c r="J453" s="292" t="s">
        <v>1062</v>
      </c>
      <c r="K453" s="292" t="s">
        <v>1283</v>
      </c>
      <c r="L453" s="98"/>
      <c r="M453" s="102"/>
      <c r="N453" s="102"/>
      <c r="O453" s="107" t="s">
        <v>1300</v>
      </c>
      <c r="P453" s="103"/>
      <c r="Q453" s="103"/>
      <c r="R453" s="107">
        <v>0.81599999999999995</v>
      </c>
      <c r="S453" s="98"/>
      <c r="T453" s="98"/>
      <c r="U453" s="103"/>
      <c r="V453" s="175"/>
      <c r="W453" s="175"/>
      <c r="X453" s="101">
        <f t="shared" si="24"/>
        <v>0.81599999999999995</v>
      </c>
      <c r="Y453" s="107">
        <v>153</v>
      </c>
      <c r="Z453" s="106" t="str">
        <f t="shared" si="25"/>
        <v>S</v>
      </c>
      <c r="AA453" s="101"/>
      <c r="AB453" s="101"/>
      <c r="AC453" s="101"/>
      <c r="AD453" s="174"/>
      <c r="AE453" s="174"/>
      <c r="AF453" s="174"/>
      <c r="AG453" s="174"/>
      <c r="AH453" s="174"/>
      <c r="AI453" s="174"/>
      <c r="AJ453" s="174"/>
      <c r="AK453" s="174"/>
      <c r="AL453" s="174"/>
    </row>
    <row r="454" spans="1:38" s="107" customFormat="1">
      <c r="A454" s="97"/>
      <c r="B454" s="258" t="s">
        <v>1276</v>
      </c>
      <c r="C454" s="259">
        <v>1989</v>
      </c>
      <c r="D454" s="101"/>
      <c r="E454" s="103" t="s">
        <v>49</v>
      </c>
      <c r="F454" s="114"/>
      <c r="G454" s="98"/>
      <c r="H454" s="115"/>
      <c r="I454" s="115"/>
      <c r="J454" s="292" t="s">
        <v>1062</v>
      </c>
      <c r="K454" s="292" t="s">
        <v>1283</v>
      </c>
      <c r="L454" s="98"/>
      <c r="M454" s="102"/>
      <c r="N454" s="102"/>
      <c r="O454" s="107" t="s">
        <v>1301</v>
      </c>
      <c r="P454" s="103"/>
      <c r="Q454" s="103"/>
      <c r="R454" s="107">
        <v>0.81699999999999995</v>
      </c>
      <c r="S454" s="98"/>
      <c r="T454" s="98"/>
      <c r="U454" s="103"/>
      <c r="V454" s="175"/>
      <c r="W454" s="175"/>
      <c r="X454" s="101">
        <f t="shared" si="24"/>
        <v>0.81699999999999995</v>
      </c>
      <c r="Y454" s="107">
        <v>146</v>
      </c>
      <c r="Z454" s="106" t="str">
        <f t="shared" si="25"/>
        <v>S</v>
      </c>
      <c r="AA454" s="101"/>
      <c r="AB454" s="101"/>
      <c r="AC454" s="101"/>
      <c r="AD454" s="174"/>
      <c r="AE454" s="174"/>
      <c r="AF454" s="174"/>
      <c r="AG454" s="174"/>
      <c r="AH454" s="174"/>
      <c r="AI454" s="174"/>
      <c r="AJ454" s="174"/>
      <c r="AK454" s="174"/>
      <c r="AL454" s="174"/>
    </row>
    <row r="455" spans="1:38" s="107" customFormat="1">
      <c r="A455" s="97"/>
      <c r="B455" s="258" t="s">
        <v>1276</v>
      </c>
      <c r="C455" s="259">
        <v>1989</v>
      </c>
      <c r="D455" s="101"/>
      <c r="E455" s="103" t="s">
        <v>49</v>
      </c>
      <c r="F455" s="114"/>
      <c r="G455" s="98"/>
      <c r="H455" s="115"/>
      <c r="I455" s="115"/>
      <c r="J455" s="292" t="s">
        <v>1062</v>
      </c>
      <c r="K455" s="292" t="s">
        <v>1283</v>
      </c>
      <c r="L455" s="98"/>
      <c r="M455" s="102"/>
      <c r="N455" s="102"/>
      <c r="O455" s="107" t="s">
        <v>1302</v>
      </c>
      <c r="P455" s="103"/>
      <c r="Q455" s="103"/>
      <c r="R455" s="107">
        <v>0.86399999999999999</v>
      </c>
      <c r="S455" s="98"/>
      <c r="T455" s="98"/>
      <c r="U455" s="103"/>
      <c r="V455" s="175"/>
      <c r="W455" s="175"/>
      <c r="X455" s="101">
        <f t="shared" si="24"/>
        <v>0.86399999999999999</v>
      </c>
      <c r="Y455" s="107">
        <v>103</v>
      </c>
      <c r="Z455" s="106" t="str">
        <f t="shared" si="25"/>
        <v>S</v>
      </c>
      <c r="AA455" s="101"/>
      <c r="AB455" s="101"/>
      <c r="AC455" s="101"/>
      <c r="AD455" s="174"/>
      <c r="AE455" s="174"/>
      <c r="AF455" s="174"/>
      <c r="AG455" s="174"/>
      <c r="AH455" s="174"/>
      <c r="AI455" s="174"/>
      <c r="AJ455" s="174"/>
      <c r="AK455" s="174"/>
      <c r="AL455" s="174"/>
    </row>
    <row r="456" spans="1:38" s="107" customFormat="1">
      <c r="A456" s="97"/>
      <c r="B456" s="258" t="s">
        <v>1276</v>
      </c>
      <c r="C456" s="259">
        <v>1989</v>
      </c>
      <c r="D456" s="101"/>
      <c r="E456" s="103" t="s">
        <v>49</v>
      </c>
      <c r="F456" s="114"/>
      <c r="G456" s="98"/>
      <c r="H456" s="115"/>
      <c r="I456" s="115"/>
      <c r="J456" s="292" t="s">
        <v>1062</v>
      </c>
      <c r="K456" s="292" t="s">
        <v>1283</v>
      </c>
      <c r="L456" s="98"/>
      <c r="M456" s="102"/>
      <c r="N456" s="102"/>
      <c r="O456" s="107" t="s">
        <v>1303</v>
      </c>
      <c r="P456" s="103"/>
      <c r="Q456" s="103"/>
      <c r="R456" s="107">
        <v>0.84099999999999997</v>
      </c>
      <c r="S456" s="98"/>
      <c r="T456" s="98"/>
      <c r="U456" s="103"/>
      <c r="V456" s="175"/>
      <c r="W456" s="175"/>
      <c r="X456" s="101">
        <f t="shared" si="24"/>
        <v>0.84099999999999997</v>
      </c>
      <c r="Y456" s="107">
        <v>127</v>
      </c>
      <c r="Z456" s="106" t="str">
        <f t="shared" si="25"/>
        <v>S</v>
      </c>
      <c r="AA456" s="101"/>
      <c r="AB456" s="101"/>
      <c r="AC456" s="101"/>
      <c r="AD456" s="174"/>
      <c r="AE456" s="174"/>
      <c r="AF456" s="174"/>
      <c r="AG456" s="174"/>
      <c r="AH456" s="174"/>
      <c r="AI456" s="174"/>
      <c r="AJ456" s="174"/>
      <c r="AK456" s="174"/>
      <c r="AL456" s="174"/>
    </row>
    <row r="457" spans="1:38" s="107" customFormat="1">
      <c r="A457" s="97"/>
      <c r="B457" s="258" t="s">
        <v>1276</v>
      </c>
      <c r="C457" s="259">
        <v>1989</v>
      </c>
      <c r="D457" s="101"/>
      <c r="E457" s="103" t="s">
        <v>49</v>
      </c>
      <c r="F457" s="114"/>
      <c r="G457" s="98"/>
      <c r="H457" s="115"/>
      <c r="I457" s="115"/>
      <c r="J457" s="292" t="s">
        <v>1062</v>
      </c>
      <c r="K457" s="292" t="s">
        <v>1283</v>
      </c>
      <c r="L457" s="98"/>
      <c r="M457" s="102"/>
      <c r="N457" s="102"/>
      <c r="O457" s="107" t="s">
        <v>1304</v>
      </c>
      <c r="P457" s="103"/>
      <c r="Q457" s="103"/>
      <c r="R457" s="107">
        <v>0.84</v>
      </c>
      <c r="S457" s="98"/>
      <c r="T457" s="98"/>
      <c r="U457" s="103"/>
      <c r="V457" s="175"/>
      <c r="W457" s="175"/>
      <c r="X457" s="101">
        <f t="shared" si="24"/>
        <v>0.84</v>
      </c>
      <c r="Y457" s="107">
        <v>123</v>
      </c>
      <c r="Z457" s="106" t="str">
        <f t="shared" si="25"/>
        <v>S</v>
      </c>
      <c r="AA457" s="101"/>
      <c r="AB457" s="101"/>
      <c r="AC457" s="101"/>
      <c r="AD457" s="174"/>
      <c r="AE457" s="174"/>
      <c r="AF457" s="174"/>
      <c r="AG457" s="174"/>
      <c r="AH457" s="174"/>
      <c r="AI457" s="174"/>
      <c r="AJ457" s="174"/>
      <c r="AK457" s="174"/>
      <c r="AL457" s="174"/>
    </row>
    <row r="458" spans="1:38" s="107" customFormat="1">
      <c r="A458" s="97"/>
      <c r="B458" s="258" t="s">
        <v>1276</v>
      </c>
      <c r="C458" s="259">
        <v>1989</v>
      </c>
      <c r="D458" s="101"/>
      <c r="E458" s="103" t="s">
        <v>49</v>
      </c>
      <c r="F458" s="114"/>
      <c r="G458" s="98"/>
      <c r="H458" s="115"/>
      <c r="I458" s="115"/>
      <c r="J458" s="292" t="s">
        <v>1062</v>
      </c>
      <c r="K458" s="292" t="s">
        <v>1283</v>
      </c>
      <c r="L458" s="98"/>
      <c r="M458" s="102"/>
      <c r="N458" s="102"/>
      <c r="O458" s="107" t="s">
        <v>1305</v>
      </c>
      <c r="P458" s="103"/>
      <c r="Q458" s="103"/>
      <c r="R458" s="107">
        <v>0.81</v>
      </c>
      <c r="S458" s="98"/>
      <c r="T458" s="98"/>
      <c r="U458" s="103"/>
      <c r="V458" s="175"/>
      <c r="W458" s="175"/>
      <c r="X458" s="101">
        <f t="shared" si="24"/>
        <v>0.81</v>
      </c>
      <c r="Y458" s="107">
        <v>139</v>
      </c>
      <c r="Z458" s="106" t="str">
        <f t="shared" si="25"/>
        <v>S</v>
      </c>
      <c r="AA458" s="101"/>
      <c r="AB458" s="101"/>
      <c r="AC458" s="101"/>
      <c r="AD458" s="174"/>
      <c r="AE458" s="174"/>
      <c r="AF458" s="174"/>
      <c r="AG458" s="174"/>
      <c r="AH458" s="174"/>
      <c r="AI458" s="174"/>
      <c r="AJ458" s="174"/>
      <c r="AK458" s="174"/>
      <c r="AL458" s="174"/>
    </row>
    <row r="459" spans="1:38" s="107" customFormat="1">
      <c r="A459" s="97"/>
      <c r="B459" s="258" t="s">
        <v>1276</v>
      </c>
      <c r="C459" s="259">
        <v>1989</v>
      </c>
      <c r="D459" s="101"/>
      <c r="E459" s="103" t="s">
        <v>49</v>
      </c>
      <c r="F459" s="114"/>
      <c r="G459" s="98"/>
      <c r="H459" s="115"/>
      <c r="I459" s="115"/>
      <c r="J459" s="292" t="s">
        <v>1062</v>
      </c>
      <c r="K459" s="292" t="s">
        <v>1283</v>
      </c>
      <c r="L459" s="98"/>
      <c r="M459" s="102"/>
      <c r="N459" s="102"/>
      <c r="O459" s="107" t="s">
        <v>1306</v>
      </c>
      <c r="P459" s="103"/>
      <c r="Q459" s="103"/>
      <c r="R459" s="107">
        <v>0.88100000000000001</v>
      </c>
      <c r="S459" s="98"/>
      <c r="T459" s="98"/>
      <c r="U459" s="103"/>
      <c r="V459" s="175"/>
      <c r="W459" s="175"/>
      <c r="X459" s="101">
        <f t="shared" si="24"/>
        <v>0.88100000000000001</v>
      </c>
      <c r="Y459" s="107">
        <v>93</v>
      </c>
      <c r="Z459" s="106" t="str">
        <f t="shared" si="25"/>
        <v>S</v>
      </c>
      <c r="AA459" s="101"/>
      <c r="AB459" s="101"/>
      <c r="AC459" s="101"/>
      <c r="AD459" s="174"/>
      <c r="AE459" s="174"/>
      <c r="AF459" s="174"/>
      <c r="AG459" s="174"/>
      <c r="AH459" s="174"/>
      <c r="AI459" s="174"/>
      <c r="AJ459" s="174"/>
      <c r="AK459" s="174"/>
      <c r="AL459" s="174"/>
    </row>
    <row r="460" spans="1:38" s="107" customFormat="1">
      <c r="A460" s="97"/>
      <c r="B460" s="258" t="s">
        <v>1276</v>
      </c>
      <c r="C460" s="259">
        <v>1989</v>
      </c>
      <c r="D460" s="101"/>
      <c r="E460" s="103" t="s">
        <v>49</v>
      </c>
      <c r="F460" s="114"/>
      <c r="G460" s="98"/>
      <c r="H460" s="115"/>
      <c r="I460" s="115"/>
      <c r="J460" s="292" t="s">
        <v>1062</v>
      </c>
      <c r="K460" s="292" t="s">
        <v>1283</v>
      </c>
      <c r="L460" s="98"/>
      <c r="M460" s="102"/>
      <c r="N460" s="102"/>
      <c r="O460" s="107" t="s">
        <v>1307</v>
      </c>
      <c r="P460" s="103"/>
      <c r="Q460" s="103"/>
      <c r="R460" s="107">
        <v>0.82899999999999996</v>
      </c>
      <c r="S460" s="98"/>
      <c r="T460" s="98"/>
      <c r="U460" s="103"/>
      <c r="V460" s="175"/>
      <c r="W460" s="175"/>
      <c r="X460" s="101">
        <f t="shared" si="24"/>
        <v>0.82899999999999996</v>
      </c>
      <c r="Y460" s="107">
        <v>142</v>
      </c>
      <c r="Z460" s="106" t="str">
        <f t="shared" si="25"/>
        <v>S</v>
      </c>
      <c r="AA460" s="101"/>
      <c r="AB460" s="101"/>
      <c r="AC460" s="101"/>
      <c r="AD460" s="174"/>
      <c r="AE460" s="174"/>
      <c r="AF460" s="174"/>
      <c r="AG460" s="174"/>
      <c r="AH460" s="174"/>
      <c r="AI460" s="174"/>
      <c r="AJ460" s="174"/>
      <c r="AK460" s="174"/>
      <c r="AL460" s="174"/>
    </row>
    <row r="461" spans="1:38" s="45" customFormat="1">
      <c r="A461" s="66"/>
      <c r="B461" s="67" t="s">
        <v>1025</v>
      </c>
      <c r="C461" s="171">
        <v>1996</v>
      </c>
      <c r="D461" s="66"/>
      <c r="E461" s="73" t="s">
        <v>49</v>
      </c>
      <c r="F461" s="66"/>
      <c r="G461" s="66"/>
      <c r="H461" s="67" t="s">
        <v>146</v>
      </c>
      <c r="I461" s="66"/>
      <c r="J461" s="66" t="s">
        <v>1034</v>
      </c>
      <c r="K461" s="54" t="s">
        <v>1035</v>
      </c>
      <c r="L461" s="67" t="s">
        <v>1032</v>
      </c>
      <c r="M461" s="66"/>
      <c r="N461" s="66"/>
      <c r="O461" s="67" t="s">
        <v>1028</v>
      </c>
      <c r="P461" s="66"/>
      <c r="Q461" s="66"/>
      <c r="R461" s="66"/>
      <c r="S461" s="66"/>
      <c r="T461" s="66">
        <v>84.74</v>
      </c>
      <c r="U461" s="66">
        <f>+T461</f>
        <v>84.74</v>
      </c>
      <c r="V461" s="66"/>
      <c r="W461" s="66">
        <f>231/2</f>
        <v>115.5</v>
      </c>
      <c r="X461" s="66">
        <f t="shared" si="24"/>
        <v>0.84739999999999993</v>
      </c>
      <c r="Y461" s="206">
        <f>+W461</f>
        <v>115.5</v>
      </c>
      <c r="Z461" s="192" t="str">
        <f t="shared" si="25"/>
        <v>S</v>
      </c>
      <c r="AA461" s="195"/>
      <c r="AB461" s="196" t="s">
        <v>1206</v>
      </c>
      <c r="AC461" s="196" t="s">
        <v>1207</v>
      </c>
      <c r="AD461" s="196" t="s">
        <v>1208</v>
      </c>
      <c r="AE461" s="196" t="s">
        <v>1209</v>
      </c>
      <c r="AF461" s="196" t="s">
        <v>1210</v>
      </c>
      <c r="AG461" s="196" t="s">
        <v>1211</v>
      </c>
      <c r="AH461" s="172"/>
      <c r="AI461" s="172"/>
      <c r="AJ461" s="172"/>
      <c r="AK461" s="172"/>
      <c r="AL461" s="172"/>
    </row>
    <row r="462" spans="1:38" s="45" customFormat="1">
      <c r="A462" s="66"/>
      <c r="B462" s="67" t="s">
        <v>1025</v>
      </c>
      <c r="C462" s="171">
        <v>1996</v>
      </c>
      <c r="D462" s="66"/>
      <c r="E462" s="73" t="s">
        <v>49</v>
      </c>
      <c r="F462" s="66"/>
      <c r="G462" s="66"/>
      <c r="H462" s="67" t="s">
        <v>146</v>
      </c>
      <c r="I462" s="66"/>
      <c r="J462" s="66" t="s">
        <v>1034</v>
      </c>
      <c r="K462" s="54" t="s">
        <v>1036</v>
      </c>
      <c r="L462" s="67" t="s">
        <v>1031</v>
      </c>
      <c r="M462" s="66"/>
      <c r="N462" s="66"/>
      <c r="O462" s="67" t="s">
        <v>1027</v>
      </c>
      <c r="P462" s="66"/>
      <c r="Q462" s="66"/>
      <c r="R462" s="66"/>
      <c r="S462" s="66"/>
      <c r="T462" s="66">
        <v>85.28</v>
      </c>
      <c r="U462" s="66">
        <f>+T462</f>
        <v>85.28</v>
      </c>
      <c r="V462" s="66"/>
      <c r="W462" s="66">
        <f>222.6/2</f>
        <v>111.3</v>
      </c>
      <c r="X462" s="66">
        <f t="shared" si="24"/>
        <v>0.8528</v>
      </c>
      <c r="Y462" s="206">
        <f>+W462</f>
        <v>111.3</v>
      </c>
      <c r="Z462" s="192" t="str">
        <f t="shared" si="25"/>
        <v>S</v>
      </c>
      <c r="AA462" s="293" t="s">
        <v>1364</v>
      </c>
      <c r="AB462" s="299">
        <f>AVERAGE($Y$461:$Y$553)</f>
        <v>107.19138709677418</v>
      </c>
      <c r="AC462" s="299">
        <f>MEDIAN($Y$461:$Y$553)</f>
        <v>89.8</v>
      </c>
      <c r="AD462" s="299">
        <f>MAX($Y$461:$Y$553)</f>
        <v>278.7</v>
      </c>
      <c r="AE462" s="299">
        <f>MIN($Y$461:$Y$553)</f>
        <v>22.6</v>
      </c>
      <c r="AF462" s="299">
        <f>STDEV($Y$461:$Y$553)</f>
        <v>55.371000177661763</v>
      </c>
      <c r="AG462" s="300">
        <f>COUNT($Y$461:$Y$553)</f>
        <v>93</v>
      </c>
      <c r="AH462" s="172"/>
      <c r="AI462" s="172"/>
      <c r="AJ462" s="172"/>
      <c r="AK462" s="172"/>
      <c r="AL462" s="172"/>
    </row>
    <row r="463" spans="1:38" s="45" customFormat="1">
      <c r="A463" s="53">
        <v>197</v>
      </c>
      <c r="B463" s="73" t="s">
        <v>875</v>
      </c>
      <c r="C463" s="54">
        <v>2007</v>
      </c>
      <c r="D463" s="73" t="s">
        <v>928</v>
      </c>
      <c r="E463" s="56" t="s">
        <v>20</v>
      </c>
      <c r="F463" s="54">
        <v>2003</v>
      </c>
      <c r="G463" s="54" t="s">
        <v>326</v>
      </c>
      <c r="H463" s="54" t="s">
        <v>159</v>
      </c>
      <c r="I463" s="54"/>
      <c r="J463" s="66" t="s">
        <v>1034</v>
      </c>
      <c r="K463" s="54" t="s">
        <v>1101</v>
      </c>
      <c r="L463" s="54" t="s">
        <v>366</v>
      </c>
      <c r="M463" s="54"/>
      <c r="N463" s="54"/>
      <c r="O463" s="54" t="s">
        <v>933</v>
      </c>
      <c r="P463" s="66"/>
      <c r="Q463" s="54">
        <v>0.86</v>
      </c>
      <c r="R463" s="66">
        <f>+Q463</f>
        <v>0.86</v>
      </c>
      <c r="S463" s="66"/>
      <c r="T463" s="66"/>
      <c r="U463" s="66"/>
      <c r="V463" s="66"/>
      <c r="W463" s="54">
        <v>131.5</v>
      </c>
      <c r="X463" s="66">
        <f t="shared" si="24"/>
        <v>0.86</v>
      </c>
      <c r="Y463" s="206">
        <f>+W463</f>
        <v>131.5</v>
      </c>
      <c r="Z463" s="192" t="str">
        <f t="shared" si="25"/>
        <v>S</v>
      </c>
      <c r="AA463" s="196" t="s">
        <v>1365</v>
      </c>
      <c r="AB463" s="197">
        <f>AVERAGE($Y$469:$Y$505)</f>
        <v>66.356729729729736</v>
      </c>
      <c r="AC463" s="197">
        <f>MEDIAN($Y$469:$Y$505)</f>
        <v>64.31</v>
      </c>
      <c r="AD463" s="197">
        <f>MAX($Y$469:$Y$505)</f>
        <v>109</v>
      </c>
      <c r="AE463" s="197">
        <f>MIN($Y$469:$Y$505)</f>
        <v>22.6</v>
      </c>
      <c r="AF463" s="197">
        <f>STDEV($Y$469:$Y$505)</f>
        <v>18.351525674765895</v>
      </c>
      <c r="AG463" s="198">
        <f>COUNT($Y$469:$Y$505)</f>
        <v>37</v>
      </c>
      <c r="AH463" s="172"/>
      <c r="AI463" s="172"/>
      <c r="AJ463" s="172"/>
      <c r="AK463" s="172"/>
      <c r="AL463" s="172"/>
    </row>
    <row r="464" spans="1:38" s="45" customFormat="1">
      <c r="A464" s="66"/>
      <c r="B464" s="67" t="s">
        <v>1025</v>
      </c>
      <c r="C464" s="171">
        <v>1996</v>
      </c>
      <c r="D464" s="66"/>
      <c r="E464" s="73" t="s">
        <v>49</v>
      </c>
      <c r="F464" s="66"/>
      <c r="G464" s="66"/>
      <c r="H464" s="67" t="s">
        <v>146</v>
      </c>
      <c r="I464" s="66"/>
      <c r="J464" s="66" t="s">
        <v>1034</v>
      </c>
      <c r="K464" s="54" t="s">
        <v>1037</v>
      </c>
      <c r="L464" s="54" t="s">
        <v>1030</v>
      </c>
      <c r="M464" s="66"/>
      <c r="N464" s="66"/>
      <c r="O464" s="67" t="s">
        <v>1026</v>
      </c>
      <c r="P464" s="66"/>
      <c r="Q464" s="66"/>
      <c r="R464" s="66"/>
      <c r="S464" s="66"/>
      <c r="T464" s="66">
        <v>86.6</v>
      </c>
      <c r="U464" s="66">
        <f>+T464</f>
        <v>86.6</v>
      </c>
      <c r="V464" s="66"/>
      <c r="W464" s="66">
        <f>163.3/2</f>
        <v>81.650000000000006</v>
      </c>
      <c r="X464" s="66">
        <f t="shared" si="24"/>
        <v>0.86599999999999999</v>
      </c>
      <c r="Y464" s="206">
        <f>+W464</f>
        <v>81.650000000000006</v>
      </c>
      <c r="Z464" s="192" t="str">
        <f t="shared" si="25"/>
        <v>S</v>
      </c>
      <c r="AA464" s="196" t="s">
        <v>1366</v>
      </c>
      <c r="AB464" s="197">
        <f>AVERAGE($Y$461:$Y$468)</f>
        <v>101.62500000000001</v>
      </c>
      <c r="AC464" s="197">
        <f>MEDIAN($Y$461:$Y$468)</f>
        <v>107.80000000000001</v>
      </c>
      <c r="AD464" s="197">
        <f>MAX($Y$461:$Y$468)</f>
        <v>131.5</v>
      </c>
      <c r="AE464" s="197">
        <f>MIN($Y$461:$Y$468)</f>
        <v>55.45</v>
      </c>
      <c r="AF464" s="197">
        <f>STDEV($Y$461:$Y$468)</f>
        <v>23.327757837269374</v>
      </c>
      <c r="AG464" s="198">
        <f>COUNT($Y$461:$Y$468)</f>
        <v>8</v>
      </c>
      <c r="AH464" s="172"/>
      <c r="AI464" s="172"/>
      <c r="AJ464" s="172"/>
      <c r="AK464" s="172"/>
      <c r="AL464" s="172"/>
    </row>
    <row r="465" spans="1:38" s="45" customFormat="1">
      <c r="A465" s="53">
        <v>174</v>
      </c>
      <c r="B465" s="54" t="s">
        <v>697</v>
      </c>
      <c r="C465" s="54">
        <v>2009</v>
      </c>
      <c r="D465" s="78" t="s">
        <v>698</v>
      </c>
      <c r="E465" s="56" t="s">
        <v>20</v>
      </c>
      <c r="F465" s="57" t="s">
        <v>701</v>
      </c>
      <c r="G465" s="54" t="s">
        <v>714</v>
      </c>
      <c r="H465" s="54" t="s">
        <v>159</v>
      </c>
      <c r="I465" s="54"/>
      <c r="J465" s="66" t="s">
        <v>1034</v>
      </c>
      <c r="K465" s="54" t="s">
        <v>1101</v>
      </c>
      <c r="L465" s="54" t="s">
        <v>167</v>
      </c>
      <c r="M465" s="59"/>
      <c r="N465" s="59"/>
      <c r="O465" s="54" t="s">
        <v>167</v>
      </c>
      <c r="P465" s="60"/>
      <c r="Q465" s="60"/>
      <c r="R465" s="54"/>
      <c r="S465" s="54"/>
      <c r="T465" s="54"/>
      <c r="U465" s="61">
        <v>0.88900000000000001</v>
      </c>
      <c r="V465" s="61"/>
      <c r="W465" s="61"/>
      <c r="X465" s="66">
        <f t="shared" si="24"/>
        <v>0.88900000000000001</v>
      </c>
      <c r="Y465" s="71">
        <v>111.2</v>
      </c>
      <c r="Z465" s="192" t="str">
        <f t="shared" si="25"/>
        <v>S</v>
      </c>
      <c r="AA465" s="66" t="s">
        <v>1375</v>
      </c>
      <c r="AB465" s="66"/>
      <c r="AC465" s="66"/>
      <c r="AD465" s="172"/>
      <c r="AE465" s="172"/>
      <c r="AF465" s="172"/>
      <c r="AG465" s="172"/>
      <c r="AH465" s="172"/>
      <c r="AI465" s="172"/>
      <c r="AJ465" s="172"/>
      <c r="AK465" s="172"/>
      <c r="AL465" s="172"/>
    </row>
    <row r="466" spans="1:38" s="45" customFormat="1">
      <c r="A466" s="66"/>
      <c r="B466" s="67" t="s">
        <v>1025</v>
      </c>
      <c r="C466" s="171">
        <v>1996</v>
      </c>
      <c r="D466" s="66"/>
      <c r="E466" s="73" t="s">
        <v>49</v>
      </c>
      <c r="F466" s="66"/>
      <c r="G466" s="66"/>
      <c r="H466" s="67" t="s">
        <v>146</v>
      </c>
      <c r="I466" s="66"/>
      <c r="J466" s="66" t="s">
        <v>1034</v>
      </c>
      <c r="K466" s="54" t="s">
        <v>1037</v>
      </c>
      <c r="L466" s="54" t="s">
        <v>1030</v>
      </c>
      <c r="M466" s="66"/>
      <c r="N466" s="66"/>
      <c r="O466" s="67" t="s">
        <v>1026</v>
      </c>
      <c r="P466" s="66"/>
      <c r="Q466" s="66"/>
      <c r="R466" s="66"/>
      <c r="S466" s="66">
        <v>89.82</v>
      </c>
      <c r="T466" s="66"/>
      <c r="U466" s="66">
        <f>+S466</f>
        <v>89.82</v>
      </c>
      <c r="V466" s="66">
        <f>110.9/2</f>
        <v>55.45</v>
      </c>
      <c r="W466" s="66"/>
      <c r="X466" s="66">
        <f t="shared" si="24"/>
        <v>0.89819999999999989</v>
      </c>
      <c r="Y466" s="206">
        <f>+V466</f>
        <v>55.45</v>
      </c>
      <c r="Z466" s="192" t="str">
        <f t="shared" si="25"/>
        <v>S</v>
      </c>
      <c r="AA466" s="66"/>
      <c r="AB466" s="66"/>
      <c r="AC466" s="66"/>
      <c r="AD466" s="172"/>
      <c r="AE466" s="172"/>
      <c r="AF466" s="172"/>
      <c r="AG466" s="172"/>
      <c r="AH466" s="172"/>
      <c r="AI466" s="172"/>
      <c r="AJ466" s="172"/>
      <c r="AK466" s="172"/>
      <c r="AL466" s="172"/>
    </row>
    <row r="467" spans="1:38" s="45" customFormat="1">
      <c r="A467" s="53">
        <v>174</v>
      </c>
      <c r="B467" s="54" t="s">
        <v>697</v>
      </c>
      <c r="C467" s="54">
        <v>2009</v>
      </c>
      <c r="D467" s="78" t="s">
        <v>698</v>
      </c>
      <c r="E467" s="56" t="s">
        <v>20</v>
      </c>
      <c r="F467" s="57" t="s">
        <v>701</v>
      </c>
      <c r="G467" s="54" t="s">
        <v>718</v>
      </c>
      <c r="H467" s="54" t="s">
        <v>146</v>
      </c>
      <c r="I467" s="54"/>
      <c r="J467" s="66" t="s">
        <v>1034</v>
      </c>
      <c r="K467" s="54" t="s">
        <v>1066</v>
      </c>
      <c r="L467" s="54" t="s">
        <v>234</v>
      </c>
      <c r="M467" s="59"/>
      <c r="N467" s="59"/>
      <c r="O467" s="54" t="s">
        <v>234</v>
      </c>
      <c r="P467" s="60"/>
      <c r="Q467" s="60"/>
      <c r="R467" s="54"/>
      <c r="S467" s="54"/>
      <c r="T467" s="54"/>
      <c r="U467" s="61">
        <v>0.89900000000000002</v>
      </c>
      <c r="V467" s="61"/>
      <c r="W467" s="61"/>
      <c r="X467" s="66">
        <f t="shared" si="24"/>
        <v>0.89900000000000002</v>
      </c>
      <c r="Y467" s="71">
        <v>104.4</v>
      </c>
      <c r="Z467" s="192" t="str">
        <f t="shared" si="25"/>
        <v>S</v>
      </c>
      <c r="AA467" s="66"/>
      <c r="AB467" s="66"/>
      <c r="AC467" s="66"/>
      <c r="AD467" s="172"/>
      <c r="AE467" s="172"/>
      <c r="AF467" s="172"/>
      <c r="AG467" s="172"/>
      <c r="AH467" s="172"/>
      <c r="AI467" s="172"/>
      <c r="AJ467" s="172"/>
      <c r="AK467" s="172"/>
      <c r="AL467" s="172"/>
    </row>
    <row r="468" spans="1:38" s="45" customFormat="1">
      <c r="A468" s="53">
        <v>66</v>
      </c>
      <c r="B468" s="60" t="s">
        <v>45</v>
      </c>
      <c r="C468" s="60">
        <v>1989</v>
      </c>
      <c r="D468" s="60" t="s">
        <v>187</v>
      </c>
      <c r="E468" s="56" t="s">
        <v>49</v>
      </c>
      <c r="F468" s="54" t="s">
        <v>195</v>
      </c>
      <c r="G468" s="54" t="s">
        <v>190</v>
      </c>
      <c r="H468" s="54" t="s">
        <v>146</v>
      </c>
      <c r="I468" s="54"/>
      <c r="J468" s="54" t="s">
        <v>1034</v>
      </c>
      <c r="K468" s="54" t="s">
        <v>1065</v>
      </c>
      <c r="L468" s="54" t="s">
        <v>196</v>
      </c>
      <c r="M468" s="54"/>
      <c r="N468" s="54"/>
      <c r="O468" s="54" t="s">
        <v>197</v>
      </c>
      <c r="P468" s="54"/>
      <c r="Q468" s="54"/>
      <c r="R468" s="54"/>
      <c r="S468" s="54"/>
      <c r="T468" s="54"/>
      <c r="U468" s="54"/>
      <c r="V468" s="54"/>
      <c r="W468" s="54"/>
      <c r="X468" s="66" t="str">
        <f t="shared" si="24"/>
        <v/>
      </c>
      <c r="Y468" s="71">
        <v>102</v>
      </c>
      <c r="Z468" s="192" t="s">
        <v>1193</v>
      </c>
      <c r="AA468" s="66"/>
      <c r="AB468" s="66"/>
      <c r="AC468" s="66"/>
      <c r="AD468" s="172"/>
      <c r="AE468" s="172"/>
      <c r="AF468" s="172"/>
      <c r="AG468" s="172"/>
      <c r="AH468" s="172"/>
      <c r="AI468" s="172"/>
      <c r="AJ468" s="172"/>
      <c r="AK468" s="172"/>
      <c r="AL468" s="172"/>
    </row>
    <row r="469" spans="1:38" s="45" customFormat="1">
      <c r="A469" s="66"/>
      <c r="B469" s="67" t="s">
        <v>1025</v>
      </c>
      <c r="C469" s="171">
        <v>1996</v>
      </c>
      <c r="D469" s="66"/>
      <c r="E469" s="73" t="s">
        <v>49</v>
      </c>
      <c r="F469" s="66"/>
      <c r="G469" s="66"/>
      <c r="H469" s="67" t="s">
        <v>146</v>
      </c>
      <c r="I469" s="66"/>
      <c r="J469" s="66" t="s">
        <v>1034</v>
      </c>
      <c r="K469" s="54" t="s">
        <v>1035</v>
      </c>
      <c r="L469" s="67" t="s">
        <v>1033</v>
      </c>
      <c r="M469" s="66"/>
      <c r="N469" s="66"/>
      <c r="O469" s="67" t="s">
        <v>1029</v>
      </c>
      <c r="P469" s="66"/>
      <c r="Q469" s="66"/>
      <c r="R469" s="66"/>
      <c r="S469" s="66">
        <v>90.1</v>
      </c>
      <c r="T469" s="66"/>
      <c r="U469" s="66">
        <f>+S469</f>
        <v>90.1</v>
      </c>
      <c r="V469" s="66">
        <f>147.8/2</f>
        <v>73.900000000000006</v>
      </c>
      <c r="W469" s="66"/>
      <c r="X469" s="66">
        <f t="shared" si="24"/>
        <v>0.90099999999999991</v>
      </c>
      <c r="Y469" s="206">
        <f>+V469</f>
        <v>73.900000000000006</v>
      </c>
      <c r="Z469" s="192" t="str">
        <f t="shared" ref="Z469:Z500" si="26">IF(X469&lt;&gt;"",IF(X469&lt;0.9,"S","F"),"")</f>
        <v>F</v>
      </c>
      <c r="AA469" s="66"/>
      <c r="AB469" s="66"/>
      <c r="AC469" s="66"/>
      <c r="AD469" s="172"/>
      <c r="AE469" s="172"/>
      <c r="AF469" s="172"/>
      <c r="AG469" s="172"/>
      <c r="AH469" s="172"/>
      <c r="AI469" s="172"/>
      <c r="AJ469" s="172"/>
      <c r="AK469" s="172"/>
      <c r="AL469" s="172"/>
    </row>
    <row r="470" spans="1:38" s="45" customFormat="1">
      <c r="A470" s="53">
        <v>173</v>
      </c>
      <c r="B470" s="54" t="s">
        <v>585</v>
      </c>
      <c r="C470" s="54">
        <v>2011</v>
      </c>
      <c r="D470" s="78" t="s">
        <v>636</v>
      </c>
      <c r="E470" s="56" t="s">
        <v>638</v>
      </c>
      <c r="F470" s="57" t="s">
        <v>665</v>
      </c>
      <c r="G470" s="54" t="s">
        <v>595</v>
      </c>
      <c r="H470" s="54" t="s">
        <v>146</v>
      </c>
      <c r="I470" s="54"/>
      <c r="J470" s="66" t="s">
        <v>1034</v>
      </c>
      <c r="K470" s="54" t="s">
        <v>1079</v>
      </c>
      <c r="L470" s="54" t="s">
        <v>667</v>
      </c>
      <c r="M470" s="59"/>
      <c r="N470" s="59"/>
      <c r="O470" s="54" t="s">
        <v>668</v>
      </c>
      <c r="P470" s="60"/>
      <c r="Q470" s="60"/>
      <c r="R470" s="54"/>
      <c r="S470" s="54"/>
      <c r="T470" s="54"/>
      <c r="U470" s="61">
        <v>0.90300000000000002</v>
      </c>
      <c r="V470" s="61"/>
      <c r="W470" s="61"/>
      <c r="X470" s="66">
        <f t="shared" si="24"/>
        <v>0.90300000000000002</v>
      </c>
      <c r="Y470" s="71">
        <v>109</v>
      </c>
      <c r="Z470" s="192" t="str">
        <f t="shared" si="26"/>
        <v>F</v>
      </c>
      <c r="AA470" s="66"/>
      <c r="AB470" s="66"/>
      <c r="AC470" s="66"/>
      <c r="AD470" s="172"/>
      <c r="AE470" s="172"/>
      <c r="AF470" s="172"/>
      <c r="AG470" s="172"/>
      <c r="AH470" s="172"/>
      <c r="AI470" s="172"/>
      <c r="AJ470" s="172"/>
      <c r="AK470" s="172"/>
      <c r="AL470" s="172"/>
    </row>
    <row r="471" spans="1:38" s="45" customFormat="1">
      <c r="A471" s="53">
        <v>174</v>
      </c>
      <c r="B471" s="54" t="s">
        <v>697</v>
      </c>
      <c r="C471" s="54">
        <v>2009</v>
      </c>
      <c r="D471" s="78" t="s">
        <v>698</v>
      </c>
      <c r="E471" s="56" t="s">
        <v>20</v>
      </c>
      <c r="F471" s="57" t="s">
        <v>701</v>
      </c>
      <c r="G471" s="54"/>
      <c r="H471" s="54"/>
      <c r="I471" s="54"/>
      <c r="J471" s="66" t="s">
        <v>1034</v>
      </c>
      <c r="K471" s="54" t="s">
        <v>1098</v>
      </c>
      <c r="L471" s="54" t="s">
        <v>722</v>
      </c>
      <c r="M471" s="59"/>
      <c r="N471" s="59"/>
      <c r="O471" s="54" t="s">
        <v>723</v>
      </c>
      <c r="P471" s="60"/>
      <c r="Q471" s="60"/>
      <c r="R471" s="54"/>
      <c r="S471" s="54"/>
      <c r="T471" s="54"/>
      <c r="U471" s="61">
        <v>0.90500000000000003</v>
      </c>
      <c r="V471" s="61"/>
      <c r="W471" s="61"/>
      <c r="X471" s="66">
        <f t="shared" si="24"/>
        <v>0.90500000000000003</v>
      </c>
      <c r="Y471" s="71">
        <v>96.4</v>
      </c>
      <c r="Z471" s="192" t="str">
        <f t="shared" si="26"/>
        <v>F</v>
      </c>
      <c r="AA471" s="66"/>
      <c r="AB471" s="66"/>
      <c r="AC471" s="66"/>
      <c r="AD471" s="172"/>
      <c r="AE471" s="172"/>
      <c r="AF471" s="172"/>
      <c r="AG471" s="172"/>
      <c r="AH471" s="172"/>
      <c r="AI471" s="172"/>
      <c r="AJ471" s="172"/>
      <c r="AK471" s="172"/>
      <c r="AL471" s="172"/>
    </row>
    <row r="472" spans="1:38" s="45" customFormat="1">
      <c r="A472" s="53">
        <v>174</v>
      </c>
      <c r="B472" s="54" t="s">
        <v>697</v>
      </c>
      <c r="C472" s="54">
        <v>2009</v>
      </c>
      <c r="D472" s="78" t="s">
        <v>698</v>
      </c>
      <c r="E472" s="56" t="s">
        <v>20</v>
      </c>
      <c r="F472" s="57" t="s">
        <v>701</v>
      </c>
      <c r="G472" s="54" t="s">
        <v>718</v>
      </c>
      <c r="H472" s="54" t="s">
        <v>146</v>
      </c>
      <c r="I472" s="54"/>
      <c r="J472" s="66" t="s">
        <v>1034</v>
      </c>
      <c r="K472" s="54" t="s">
        <v>1043</v>
      </c>
      <c r="L472" s="54" t="s">
        <v>735</v>
      </c>
      <c r="M472" s="59"/>
      <c r="N472" s="59"/>
      <c r="O472" s="54" t="s">
        <v>166</v>
      </c>
      <c r="P472" s="60"/>
      <c r="Q472" s="60"/>
      <c r="R472" s="54"/>
      <c r="S472" s="54"/>
      <c r="T472" s="54"/>
      <c r="U472" s="61">
        <v>0.90900000000000003</v>
      </c>
      <c r="V472" s="61"/>
      <c r="W472" s="61"/>
      <c r="X472" s="66">
        <f t="shared" si="24"/>
        <v>0.90900000000000003</v>
      </c>
      <c r="Y472" s="71">
        <v>93.2</v>
      </c>
      <c r="Z472" s="192" t="str">
        <f t="shared" si="26"/>
        <v>F</v>
      </c>
      <c r="AA472" s="66"/>
      <c r="AB472" s="66"/>
      <c r="AC472" s="66"/>
      <c r="AD472" s="172"/>
      <c r="AE472" s="172"/>
      <c r="AF472" s="172"/>
      <c r="AG472" s="172"/>
      <c r="AH472" s="172"/>
      <c r="AI472" s="172"/>
      <c r="AJ472" s="172"/>
      <c r="AK472" s="172"/>
      <c r="AL472" s="172"/>
    </row>
    <row r="473" spans="1:38" s="45" customFormat="1">
      <c r="A473" s="53">
        <v>182</v>
      </c>
      <c r="B473" s="168" t="s">
        <v>875</v>
      </c>
      <c r="C473" s="54">
        <v>2010</v>
      </c>
      <c r="D473" s="73" t="s">
        <v>876</v>
      </c>
      <c r="E473" s="56" t="s">
        <v>20</v>
      </c>
      <c r="F473" s="54">
        <v>2008</v>
      </c>
      <c r="G473" s="54" t="s">
        <v>879</v>
      </c>
      <c r="H473" s="54" t="s">
        <v>880</v>
      </c>
      <c r="I473" s="54"/>
      <c r="J473" s="66" t="s">
        <v>1034</v>
      </c>
      <c r="K473" s="54" t="s">
        <v>1119</v>
      </c>
      <c r="L473" s="54" t="s">
        <v>234</v>
      </c>
      <c r="M473" s="54"/>
      <c r="N473" s="54"/>
      <c r="O473" s="54" t="s">
        <v>888</v>
      </c>
      <c r="P473" s="54"/>
      <c r="Q473" s="54"/>
      <c r="R473" s="54">
        <v>0.91</v>
      </c>
      <c r="S473" s="54"/>
      <c r="T473" s="54"/>
      <c r="U473" s="54"/>
      <c r="V473" s="54"/>
      <c r="W473" s="54"/>
      <c r="X473" s="66">
        <f t="shared" si="24"/>
        <v>0.91</v>
      </c>
      <c r="Y473" s="71">
        <f>113.2*0.49</f>
        <v>55.468000000000004</v>
      </c>
      <c r="Z473" s="192" t="str">
        <f t="shared" si="26"/>
        <v>F</v>
      </c>
      <c r="AA473" s="66"/>
      <c r="AB473" s="66"/>
      <c r="AC473" s="66"/>
      <c r="AD473" s="172"/>
      <c r="AE473" s="172"/>
      <c r="AF473" s="172"/>
      <c r="AG473" s="172"/>
      <c r="AH473" s="172"/>
      <c r="AI473" s="172"/>
      <c r="AJ473" s="172"/>
      <c r="AK473" s="172"/>
      <c r="AL473" s="172"/>
    </row>
    <row r="474" spans="1:38" s="45" customFormat="1">
      <c r="A474" s="53">
        <v>174</v>
      </c>
      <c r="B474" s="54" t="s">
        <v>697</v>
      </c>
      <c r="C474" s="54">
        <v>2009</v>
      </c>
      <c r="D474" s="78" t="s">
        <v>698</v>
      </c>
      <c r="E474" s="56" t="s">
        <v>20</v>
      </c>
      <c r="F474" s="57" t="s">
        <v>701</v>
      </c>
      <c r="G474" s="54" t="s">
        <v>718</v>
      </c>
      <c r="H474" s="54" t="s">
        <v>146</v>
      </c>
      <c r="I474" s="54"/>
      <c r="J474" s="66" t="s">
        <v>1034</v>
      </c>
      <c r="K474" s="54" t="s">
        <v>1065</v>
      </c>
      <c r="L474" s="54" t="s">
        <v>740</v>
      </c>
      <c r="M474" s="59"/>
      <c r="N474" s="59"/>
      <c r="O474" s="54" t="s">
        <v>228</v>
      </c>
      <c r="P474" s="60"/>
      <c r="Q474" s="60"/>
      <c r="R474" s="54"/>
      <c r="S474" s="54"/>
      <c r="T474" s="54"/>
      <c r="U474" s="61">
        <v>0.91300000000000003</v>
      </c>
      <c r="V474" s="61"/>
      <c r="W474" s="61"/>
      <c r="X474" s="66">
        <f t="shared" si="24"/>
        <v>0.91300000000000003</v>
      </c>
      <c r="Y474" s="71">
        <v>98.3</v>
      </c>
      <c r="Z474" s="192" t="str">
        <f t="shared" si="26"/>
        <v>F</v>
      </c>
      <c r="AA474" s="66"/>
      <c r="AB474" s="66"/>
      <c r="AC474" s="66"/>
      <c r="AD474" s="172"/>
      <c r="AE474" s="172"/>
      <c r="AF474" s="172"/>
      <c r="AG474" s="172"/>
      <c r="AH474" s="172"/>
      <c r="AI474" s="172"/>
      <c r="AJ474" s="172"/>
      <c r="AK474" s="172"/>
      <c r="AL474" s="172"/>
    </row>
    <row r="475" spans="1:38" s="45" customFormat="1">
      <c r="A475" s="53">
        <v>174</v>
      </c>
      <c r="B475" s="54" t="s">
        <v>697</v>
      </c>
      <c r="C475" s="54">
        <v>2009</v>
      </c>
      <c r="D475" s="78" t="s">
        <v>698</v>
      </c>
      <c r="E475" s="56" t="s">
        <v>20</v>
      </c>
      <c r="F475" s="57" t="s">
        <v>701</v>
      </c>
      <c r="G475" s="54" t="s">
        <v>718</v>
      </c>
      <c r="H475" s="54" t="s">
        <v>146</v>
      </c>
      <c r="I475" s="54"/>
      <c r="J475" s="66" t="s">
        <v>1034</v>
      </c>
      <c r="K475" s="54" t="s">
        <v>1035</v>
      </c>
      <c r="L475" s="54" t="s">
        <v>232</v>
      </c>
      <c r="M475" s="59"/>
      <c r="N475" s="59"/>
      <c r="O475" s="54" t="s">
        <v>232</v>
      </c>
      <c r="P475" s="60"/>
      <c r="Q475" s="60"/>
      <c r="R475" s="54"/>
      <c r="S475" s="54"/>
      <c r="T475" s="54"/>
      <c r="U475" s="61">
        <v>0.91400000000000003</v>
      </c>
      <c r="V475" s="61"/>
      <c r="W475" s="61"/>
      <c r="X475" s="66">
        <f t="shared" si="24"/>
        <v>0.91400000000000003</v>
      </c>
      <c r="Y475" s="71">
        <v>86.1</v>
      </c>
      <c r="Z475" s="192" t="str">
        <f t="shared" si="26"/>
        <v>F</v>
      </c>
      <c r="AA475" s="66"/>
      <c r="AB475" s="66"/>
      <c r="AC475" s="66"/>
      <c r="AD475" s="172"/>
      <c r="AE475" s="172"/>
      <c r="AF475" s="172"/>
      <c r="AG475" s="172"/>
      <c r="AH475" s="172"/>
      <c r="AI475" s="172"/>
      <c r="AJ475" s="172"/>
      <c r="AK475" s="172"/>
      <c r="AL475" s="172"/>
    </row>
    <row r="476" spans="1:38" s="45" customFormat="1">
      <c r="A476" s="66"/>
      <c r="B476" s="67" t="s">
        <v>1025</v>
      </c>
      <c r="C476" s="171">
        <v>1996</v>
      </c>
      <c r="D476" s="66"/>
      <c r="E476" s="73" t="s">
        <v>49</v>
      </c>
      <c r="F476" s="66"/>
      <c r="G476" s="66"/>
      <c r="H476" s="67" t="s">
        <v>146</v>
      </c>
      <c r="I476" s="66"/>
      <c r="J476" s="66" t="s">
        <v>1034</v>
      </c>
      <c r="K476" s="54" t="s">
        <v>1035</v>
      </c>
      <c r="L476" s="67" t="s">
        <v>1032</v>
      </c>
      <c r="M476" s="66"/>
      <c r="N476" s="66"/>
      <c r="O476" s="67" t="s">
        <v>1028</v>
      </c>
      <c r="P476" s="66"/>
      <c r="Q476" s="66"/>
      <c r="R476" s="66"/>
      <c r="S476" s="66">
        <v>91.48</v>
      </c>
      <c r="T476" s="66"/>
      <c r="U476" s="66">
        <f>+S476</f>
        <v>91.48</v>
      </c>
      <c r="V476" s="66">
        <f>96.1/2</f>
        <v>48.05</v>
      </c>
      <c r="W476" s="66"/>
      <c r="X476" s="66">
        <f t="shared" si="24"/>
        <v>0.91480000000000006</v>
      </c>
      <c r="Y476" s="206">
        <f>+V476</f>
        <v>48.05</v>
      </c>
      <c r="Z476" s="192" t="str">
        <f t="shared" si="26"/>
        <v>F</v>
      </c>
      <c r="AA476" s="66"/>
      <c r="AB476" s="66"/>
      <c r="AC476" s="66"/>
      <c r="AD476" s="172"/>
      <c r="AE476" s="172"/>
      <c r="AF476" s="172"/>
      <c r="AG476" s="172"/>
      <c r="AH476" s="172"/>
      <c r="AI476" s="172"/>
      <c r="AJ476" s="172"/>
      <c r="AK476" s="172"/>
      <c r="AL476" s="172"/>
    </row>
    <row r="477" spans="1:38" s="45" customFormat="1">
      <c r="A477" s="53">
        <v>203</v>
      </c>
      <c r="B477" s="73" t="s">
        <v>940</v>
      </c>
      <c r="C477" s="54">
        <v>2011</v>
      </c>
      <c r="D477" s="73" t="s">
        <v>941</v>
      </c>
      <c r="E477" s="56" t="s">
        <v>20</v>
      </c>
      <c r="F477" s="54">
        <v>2009</v>
      </c>
      <c r="G477" s="54" t="s">
        <v>326</v>
      </c>
      <c r="H477" s="54"/>
      <c r="I477" s="54"/>
      <c r="J477" s="66" t="s">
        <v>1034</v>
      </c>
      <c r="K477" s="54" t="s">
        <v>1101</v>
      </c>
      <c r="L477" s="54" t="s">
        <v>945</v>
      </c>
      <c r="M477" s="54"/>
      <c r="N477" s="54"/>
      <c r="O477" s="54">
        <v>49</v>
      </c>
      <c r="P477" s="54"/>
      <c r="Q477" s="54"/>
      <c r="R477" s="54"/>
      <c r="S477" s="54"/>
      <c r="T477" s="54"/>
      <c r="U477" s="54">
        <v>0.92</v>
      </c>
      <c r="V477" s="54"/>
      <c r="W477" s="54"/>
      <c r="X477" s="66">
        <f t="shared" si="24"/>
        <v>0.92</v>
      </c>
      <c r="Y477" s="71">
        <v>89.4</v>
      </c>
      <c r="Z477" s="192" t="str">
        <f t="shared" si="26"/>
        <v>F</v>
      </c>
      <c r="AA477" s="66"/>
      <c r="AB477" s="66"/>
      <c r="AC477" s="66"/>
      <c r="AD477" s="172"/>
      <c r="AE477" s="172"/>
      <c r="AF477" s="172"/>
      <c r="AG477" s="172"/>
      <c r="AH477" s="172"/>
      <c r="AI477" s="172"/>
      <c r="AJ477" s="172"/>
      <c r="AK477" s="172"/>
      <c r="AL477" s="172"/>
    </row>
    <row r="478" spans="1:38" s="45" customFormat="1">
      <c r="A478" s="53">
        <v>182</v>
      </c>
      <c r="B478" s="168" t="s">
        <v>875</v>
      </c>
      <c r="C478" s="54">
        <v>2010</v>
      </c>
      <c r="D478" s="73" t="s">
        <v>876</v>
      </c>
      <c r="E478" s="56" t="s">
        <v>20</v>
      </c>
      <c r="F478" s="54">
        <v>2008</v>
      </c>
      <c r="G478" s="54" t="s">
        <v>879</v>
      </c>
      <c r="H478" s="54" t="s">
        <v>880</v>
      </c>
      <c r="I478" s="54"/>
      <c r="J478" s="66" t="s">
        <v>1034</v>
      </c>
      <c r="K478" s="54" t="s">
        <v>1122</v>
      </c>
      <c r="L478" s="54" t="s">
        <v>890</v>
      </c>
      <c r="M478" s="54"/>
      <c r="N478" s="54"/>
      <c r="O478" s="54" t="s">
        <v>891</v>
      </c>
      <c r="P478" s="54"/>
      <c r="Q478" s="54"/>
      <c r="R478" s="54">
        <v>0.92</v>
      </c>
      <c r="S478" s="54"/>
      <c r="T478" s="54"/>
      <c r="U478" s="54"/>
      <c r="V478" s="54"/>
      <c r="W478" s="54"/>
      <c r="X478" s="66">
        <f t="shared" si="24"/>
        <v>0.92</v>
      </c>
      <c r="Y478" s="71">
        <f>144.5*0.47</f>
        <v>67.914999999999992</v>
      </c>
      <c r="Z478" s="192" t="str">
        <f t="shared" si="26"/>
        <v>F</v>
      </c>
      <c r="AA478" s="66"/>
      <c r="AB478" s="66"/>
      <c r="AC478" s="66"/>
      <c r="AD478" s="172"/>
      <c r="AE478" s="172"/>
      <c r="AF478" s="172"/>
      <c r="AG478" s="172"/>
      <c r="AH478" s="172"/>
      <c r="AI478" s="172"/>
      <c r="AJ478" s="172"/>
      <c r="AK478" s="172"/>
      <c r="AL478" s="172"/>
    </row>
    <row r="479" spans="1:38" s="45" customFormat="1">
      <c r="A479" s="53">
        <v>182</v>
      </c>
      <c r="B479" s="168" t="s">
        <v>875</v>
      </c>
      <c r="C479" s="54">
        <v>2010</v>
      </c>
      <c r="D479" s="73" t="s">
        <v>876</v>
      </c>
      <c r="E479" s="56" t="s">
        <v>20</v>
      </c>
      <c r="F479" s="54">
        <v>2008</v>
      </c>
      <c r="G479" s="54" t="s">
        <v>879</v>
      </c>
      <c r="H479" s="54" t="s">
        <v>880</v>
      </c>
      <c r="I479" s="54"/>
      <c r="J479" s="66" t="s">
        <v>1034</v>
      </c>
      <c r="K479" s="54" t="s">
        <v>1123</v>
      </c>
      <c r="L479" s="54" t="s">
        <v>890</v>
      </c>
      <c r="M479" s="54"/>
      <c r="N479" s="54"/>
      <c r="O479" s="54" t="s">
        <v>892</v>
      </c>
      <c r="P479" s="54"/>
      <c r="Q479" s="54"/>
      <c r="R479" s="54">
        <v>0.92</v>
      </c>
      <c r="S479" s="54"/>
      <c r="T479" s="54"/>
      <c r="U479" s="54"/>
      <c r="V479" s="54"/>
      <c r="W479" s="54"/>
      <c r="X479" s="66">
        <f t="shared" si="24"/>
        <v>0.92</v>
      </c>
      <c r="Y479" s="71">
        <f>162.1*0.5</f>
        <v>81.05</v>
      </c>
      <c r="Z479" s="192" t="str">
        <f t="shared" si="26"/>
        <v>F</v>
      </c>
      <c r="AA479" s="66"/>
      <c r="AB479" s="66"/>
      <c r="AC479" s="66"/>
      <c r="AD479" s="172"/>
      <c r="AE479" s="172"/>
      <c r="AF479" s="172"/>
      <c r="AG479" s="172"/>
      <c r="AH479" s="172"/>
      <c r="AI479" s="172"/>
      <c r="AJ479" s="172"/>
      <c r="AK479" s="172"/>
      <c r="AL479" s="172"/>
    </row>
    <row r="480" spans="1:38" s="45" customFormat="1">
      <c r="A480" s="53">
        <v>203</v>
      </c>
      <c r="B480" s="73" t="s">
        <v>940</v>
      </c>
      <c r="C480" s="54">
        <v>2011</v>
      </c>
      <c r="D480" s="73" t="s">
        <v>941</v>
      </c>
      <c r="E480" s="56" t="s">
        <v>20</v>
      </c>
      <c r="F480" s="54">
        <v>2009</v>
      </c>
      <c r="G480" s="54" t="s">
        <v>326</v>
      </c>
      <c r="H480" s="54"/>
      <c r="I480" s="54"/>
      <c r="J480" s="66" t="s">
        <v>1034</v>
      </c>
      <c r="K480" s="54" t="s">
        <v>1101</v>
      </c>
      <c r="L480" s="54" t="s">
        <v>946</v>
      </c>
      <c r="M480" s="54"/>
      <c r="N480" s="54"/>
      <c r="O480" s="54">
        <v>53</v>
      </c>
      <c r="P480" s="54"/>
      <c r="Q480" s="54"/>
      <c r="R480" s="54"/>
      <c r="S480" s="54"/>
      <c r="T480" s="54"/>
      <c r="U480" s="54">
        <v>0.93</v>
      </c>
      <c r="V480" s="54"/>
      <c r="W480" s="54"/>
      <c r="X480" s="66">
        <f t="shared" si="24"/>
        <v>0.93</v>
      </c>
      <c r="Y480" s="71">
        <v>88.2</v>
      </c>
      <c r="Z480" s="192" t="str">
        <f t="shared" si="26"/>
        <v>F</v>
      </c>
      <c r="AA480" s="66"/>
      <c r="AB480" s="66"/>
      <c r="AC480" s="66"/>
      <c r="AD480" s="172"/>
      <c r="AE480" s="172"/>
      <c r="AF480" s="172"/>
      <c r="AG480" s="172"/>
      <c r="AH480" s="172"/>
      <c r="AI480" s="172"/>
      <c r="AJ480" s="172"/>
      <c r="AK480" s="172"/>
      <c r="AL480" s="172"/>
    </row>
    <row r="481" spans="1:38" s="45" customFormat="1">
      <c r="A481" s="53">
        <v>182</v>
      </c>
      <c r="B481" s="168" t="s">
        <v>875</v>
      </c>
      <c r="C481" s="54">
        <v>2010</v>
      </c>
      <c r="D481" s="73" t="s">
        <v>876</v>
      </c>
      <c r="E481" s="56" t="s">
        <v>20</v>
      </c>
      <c r="F481" s="54">
        <v>2008</v>
      </c>
      <c r="G481" s="54" t="s">
        <v>879</v>
      </c>
      <c r="H481" s="54" t="s">
        <v>880</v>
      </c>
      <c r="I481" s="54"/>
      <c r="J481" s="66" t="s">
        <v>1034</v>
      </c>
      <c r="K481" s="54" t="s">
        <v>1115</v>
      </c>
      <c r="L481" s="54" t="s">
        <v>885</v>
      </c>
      <c r="M481" s="54"/>
      <c r="N481" s="54"/>
      <c r="O481" s="54" t="s">
        <v>886</v>
      </c>
      <c r="P481" s="54"/>
      <c r="Q481" s="54"/>
      <c r="R481" s="54">
        <v>0.93</v>
      </c>
      <c r="S481" s="54"/>
      <c r="T481" s="54"/>
      <c r="U481" s="54"/>
      <c r="V481" s="54"/>
      <c r="W481" s="54"/>
      <c r="X481" s="66">
        <f t="shared" si="24"/>
        <v>0.93</v>
      </c>
      <c r="Y481" s="71">
        <f>112.6*0.52</f>
        <v>58.552</v>
      </c>
      <c r="Z481" s="192" t="str">
        <f t="shared" si="26"/>
        <v>F</v>
      </c>
      <c r="AA481" s="66"/>
      <c r="AB481" s="66"/>
      <c r="AC481" s="66"/>
      <c r="AD481" s="172"/>
      <c r="AE481" s="172"/>
      <c r="AF481" s="172"/>
      <c r="AG481" s="172"/>
      <c r="AH481" s="172"/>
      <c r="AI481" s="172"/>
      <c r="AJ481" s="172"/>
      <c r="AK481" s="172"/>
      <c r="AL481" s="172"/>
    </row>
    <row r="482" spans="1:38" s="45" customFormat="1">
      <c r="A482" s="53">
        <v>173</v>
      </c>
      <c r="B482" s="54" t="s">
        <v>585</v>
      </c>
      <c r="C482" s="54">
        <v>2011</v>
      </c>
      <c r="D482" s="78" t="s">
        <v>636</v>
      </c>
      <c r="E482" s="56" t="s">
        <v>638</v>
      </c>
      <c r="F482" s="57" t="s">
        <v>669</v>
      </c>
      <c r="G482" s="54" t="s">
        <v>670</v>
      </c>
      <c r="H482" s="54" t="s">
        <v>146</v>
      </c>
      <c r="I482" s="54"/>
      <c r="J482" s="66" t="s">
        <v>1034</v>
      </c>
      <c r="K482" s="54" t="s">
        <v>1043</v>
      </c>
      <c r="L482" s="54" t="s">
        <v>671</v>
      </c>
      <c r="M482" s="59"/>
      <c r="N482" s="59"/>
      <c r="O482" s="54" t="s">
        <v>672</v>
      </c>
      <c r="P482" s="60"/>
      <c r="Q482" s="60"/>
      <c r="R482" s="54"/>
      <c r="S482" s="54"/>
      <c r="T482" s="54"/>
      <c r="U482" s="61">
        <v>0.93300000000000005</v>
      </c>
      <c r="V482" s="61"/>
      <c r="W482" s="61"/>
      <c r="X482" s="66">
        <f t="shared" si="24"/>
        <v>0.93300000000000005</v>
      </c>
      <c r="Y482" s="71">
        <v>76</v>
      </c>
      <c r="Z482" s="192" t="str">
        <f t="shared" si="26"/>
        <v>F</v>
      </c>
      <c r="AA482" s="66"/>
      <c r="AB482" s="66"/>
      <c r="AC482" s="66"/>
      <c r="AD482" s="172"/>
      <c r="AE482" s="172"/>
      <c r="AF482" s="172"/>
      <c r="AG482" s="172"/>
      <c r="AH482" s="172"/>
      <c r="AI482" s="172"/>
      <c r="AJ482" s="172"/>
      <c r="AK482" s="172"/>
      <c r="AL482" s="172"/>
    </row>
    <row r="483" spans="1:38" s="45" customFormat="1">
      <c r="A483" s="53">
        <v>174</v>
      </c>
      <c r="B483" s="54" t="s">
        <v>697</v>
      </c>
      <c r="C483" s="54">
        <v>2009</v>
      </c>
      <c r="D483" s="78" t="s">
        <v>698</v>
      </c>
      <c r="E483" s="56" t="s">
        <v>20</v>
      </c>
      <c r="F483" s="57" t="s">
        <v>701</v>
      </c>
      <c r="G483" s="54" t="s">
        <v>745</v>
      </c>
      <c r="H483" s="54" t="s">
        <v>746</v>
      </c>
      <c r="I483" s="54"/>
      <c r="J483" s="66" t="s">
        <v>1034</v>
      </c>
      <c r="K483" s="54" t="s">
        <v>1089</v>
      </c>
      <c r="L483" s="54" t="s">
        <v>753</v>
      </c>
      <c r="M483" s="59"/>
      <c r="N483" s="59"/>
      <c r="O483" s="54" t="s">
        <v>754</v>
      </c>
      <c r="P483" s="60"/>
      <c r="Q483" s="60"/>
      <c r="R483" s="54"/>
      <c r="S483" s="54"/>
      <c r="T483" s="54"/>
      <c r="U483" s="61">
        <v>0.93500000000000005</v>
      </c>
      <c r="V483" s="61"/>
      <c r="W483" s="61"/>
      <c r="X483" s="66">
        <f t="shared" si="24"/>
        <v>0.93500000000000005</v>
      </c>
      <c r="Y483" s="71">
        <v>68</v>
      </c>
      <c r="Z483" s="192" t="str">
        <f t="shared" si="26"/>
        <v>F</v>
      </c>
      <c r="AA483" s="66"/>
      <c r="AB483" s="66"/>
      <c r="AC483" s="66"/>
      <c r="AD483" s="172"/>
      <c r="AE483" s="172"/>
      <c r="AF483" s="172"/>
      <c r="AG483" s="172"/>
      <c r="AH483" s="172"/>
      <c r="AI483" s="172"/>
      <c r="AJ483" s="172"/>
      <c r="AK483" s="172"/>
      <c r="AL483" s="172"/>
    </row>
    <row r="484" spans="1:38" s="45" customFormat="1">
      <c r="A484" s="66"/>
      <c r="B484" s="67" t="s">
        <v>1025</v>
      </c>
      <c r="C484" s="171">
        <v>1996</v>
      </c>
      <c r="D484" s="66"/>
      <c r="E484" s="73" t="s">
        <v>49</v>
      </c>
      <c r="F484" s="66"/>
      <c r="G484" s="66"/>
      <c r="H484" s="67" t="s">
        <v>146</v>
      </c>
      <c r="I484" s="66"/>
      <c r="J484" s="66" t="s">
        <v>1034</v>
      </c>
      <c r="K484" s="54" t="s">
        <v>1036</v>
      </c>
      <c r="L484" s="67" t="s">
        <v>1031</v>
      </c>
      <c r="M484" s="66"/>
      <c r="N484" s="66"/>
      <c r="O484" s="67" t="s">
        <v>1027</v>
      </c>
      <c r="P484" s="66"/>
      <c r="Q484" s="66"/>
      <c r="R484" s="66"/>
      <c r="S484" s="66">
        <v>93.68</v>
      </c>
      <c r="T484" s="66"/>
      <c r="U484" s="66">
        <f>+S484</f>
        <v>93.68</v>
      </c>
      <c r="V484" s="66">
        <f>65.6/2</f>
        <v>32.799999999999997</v>
      </c>
      <c r="W484" s="66"/>
      <c r="X484" s="66">
        <f t="shared" si="24"/>
        <v>0.93680000000000008</v>
      </c>
      <c r="Y484" s="206">
        <f>+V484</f>
        <v>32.799999999999997</v>
      </c>
      <c r="Z484" s="192" t="str">
        <f t="shared" si="26"/>
        <v>F</v>
      </c>
      <c r="AA484" s="66"/>
      <c r="AB484" s="66"/>
      <c r="AC484" s="66"/>
      <c r="AD484" s="172"/>
      <c r="AE484" s="172"/>
      <c r="AF484" s="172"/>
      <c r="AG484" s="172"/>
      <c r="AH484" s="172"/>
      <c r="AI484" s="172"/>
      <c r="AJ484" s="172"/>
      <c r="AK484" s="172"/>
      <c r="AL484" s="172"/>
    </row>
    <row r="485" spans="1:38" s="45" customFormat="1">
      <c r="A485" s="53">
        <v>173</v>
      </c>
      <c r="B485" s="54" t="s">
        <v>585</v>
      </c>
      <c r="C485" s="54">
        <v>2011</v>
      </c>
      <c r="D485" s="78" t="s">
        <v>636</v>
      </c>
      <c r="E485" s="56" t="s">
        <v>638</v>
      </c>
      <c r="F485" s="57" t="s">
        <v>665</v>
      </c>
      <c r="G485" s="54" t="s">
        <v>595</v>
      </c>
      <c r="H485" s="54" t="s">
        <v>146</v>
      </c>
      <c r="I485" s="54"/>
      <c r="J485" s="66" t="s">
        <v>1034</v>
      </c>
      <c r="K485" s="54" t="s">
        <v>1038</v>
      </c>
      <c r="L485" s="54" t="s">
        <v>663</v>
      </c>
      <c r="M485" s="59"/>
      <c r="N485" s="59"/>
      <c r="O485" s="54" t="s">
        <v>666</v>
      </c>
      <c r="P485" s="60"/>
      <c r="Q485" s="60"/>
      <c r="R485" s="54"/>
      <c r="S485" s="54"/>
      <c r="T485" s="54"/>
      <c r="U485" s="61">
        <v>0.93799999999999994</v>
      </c>
      <c r="V485" s="61"/>
      <c r="W485" s="61"/>
      <c r="X485" s="66">
        <f t="shared" si="24"/>
        <v>0.93799999999999994</v>
      </c>
      <c r="Y485" s="71">
        <v>70</v>
      </c>
      <c r="Z485" s="192" t="str">
        <f t="shared" si="26"/>
        <v>F</v>
      </c>
      <c r="AA485" s="66"/>
      <c r="AB485" s="66"/>
      <c r="AC485" s="66"/>
      <c r="AD485" s="172"/>
      <c r="AE485" s="172"/>
      <c r="AF485" s="172"/>
      <c r="AG485" s="172"/>
      <c r="AH485" s="172"/>
      <c r="AI485" s="172"/>
      <c r="AJ485" s="172"/>
      <c r="AK485" s="172"/>
      <c r="AL485" s="172"/>
    </row>
    <row r="486" spans="1:38" s="45" customFormat="1">
      <c r="A486" s="53">
        <v>172</v>
      </c>
      <c r="B486" s="54" t="s">
        <v>585</v>
      </c>
      <c r="C486" s="54">
        <v>2010</v>
      </c>
      <c r="D486" s="54" t="s">
        <v>586</v>
      </c>
      <c r="E486" s="56" t="s">
        <v>589</v>
      </c>
      <c r="F486" s="57">
        <v>40219</v>
      </c>
      <c r="G486" s="54" t="s">
        <v>590</v>
      </c>
      <c r="H486" s="54" t="s">
        <v>146</v>
      </c>
      <c r="I486" s="54"/>
      <c r="J486" s="66" t="s">
        <v>1034</v>
      </c>
      <c r="K486" s="54" t="s">
        <v>1035</v>
      </c>
      <c r="L486" s="54" t="s">
        <v>593</v>
      </c>
      <c r="M486" s="88" t="s">
        <v>233</v>
      </c>
      <c r="N486" s="88" t="s">
        <v>594</v>
      </c>
      <c r="O486" s="54"/>
      <c r="P486" s="60"/>
      <c r="Q486" s="60"/>
      <c r="R486" s="54"/>
      <c r="S486" s="54"/>
      <c r="T486" s="54"/>
      <c r="U486" s="60">
        <v>0.93899999999999995</v>
      </c>
      <c r="V486" s="167"/>
      <c r="W486" s="167"/>
      <c r="X486" s="66">
        <f t="shared" si="24"/>
        <v>0.93899999999999995</v>
      </c>
      <c r="Y486" s="71">
        <v>74.94</v>
      </c>
      <c r="Z486" s="192" t="str">
        <f t="shared" si="26"/>
        <v>F</v>
      </c>
      <c r="AA486" s="66"/>
      <c r="AB486" s="66"/>
      <c r="AC486" s="66"/>
      <c r="AD486" s="172"/>
      <c r="AE486" s="172"/>
      <c r="AF486" s="172"/>
      <c r="AG486" s="172"/>
      <c r="AH486" s="172"/>
      <c r="AI486" s="172"/>
      <c r="AJ486" s="172"/>
      <c r="AK486" s="172"/>
      <c r="AL486" s="172"/>
    </row>
    <row r="487" spans="1:38" s="45" customFormat="1">
      <c r="A487" s="53">
        <v>172</v>
      </c>
      <c r="B487" s="54" t="s">
        <v>585</v>
      </c>
      <c r="C487" s="54">
        <v>2010</v>
      </c>
      <c r="D487" s="54" t="s">
        <v>586</v>
      </c>
      <c r="E487" s="56" t="s">
        <v>589</v>
      </c>
      <c r="F487" s="57">
        <v>40221</v>
      </c>
      <c r="G487" s="54" t="s">
        <v>595</v>
      </c>
      <c r="H487" s="54" t="s">
        <v>146</v>
      </c>
      <c r="I487" s="54"/>
      <c r="J487" s="66" t="s">
        <v>1034</v>
      </c>
      <c r="K487" s="54" t="s">
        <v>1038</v>
      </c>
      <c r="L487" s="54" t="s">
        <v>599</v>
      </c>
      <c r="M487" s="88" t="s">
        <v>600</v>
      </c>
      <c r="N487" s="88" t="s">
        <v>601</v>
      </c>
      <c r="O487" s="54"/>
      <c r="P487" s="60"/>
      <c r="Q487" s="60"/>
      <c r="R487" s="54"/>
      <c r="S487" s="54"/>
      <c r="T487" s="54"/>
      <c r="U487" s="60">
        <v>0.93899999999999995</v>
      </c>
      <c r="V487" s="167"/>
      <c r="W487" s="167"/>
      <c r="X487" s="66">
        <f t="shared" si="24"/>
        <v>0.93899999999999995</v>
      </c>
      <c r="Y487" s="71">
        <v>71.05</v>
      </c>
      <c r="Z487" s="192" t="str">
        <f t="shared" si="26"/>
        <v>F</v>
      </c>
      <c r="AA487" s="66"/>
      <c r="AB487" s="66"/>
      <c r="AC487" s="66"/>
      <c r="AD487" s="172"/>
      <c r="AE487" s="172"/>
      <c r="AF487" s="172"/>
      <c r="AG487" s="172"/>
      <c r="AH487" s="172"/>
      <c r="AI487" s="172"/>
      <c r="AJ487" s="172"/>
      <c r="AK487" s="172"/>
      <c r="AL487" s="172"/>
    </row>
    <row r="488" spans="1:38" s="45" customFormat="1">
      <c r="A488" s="53">
        <v>203</v>
      </c>
      <c r="B488" s="73" t="s">
        <v>940</v>
      </c>
      <c r="C488" s="54">
        <v>2011</v>
      </c>
      <c r="D488" s="73" t="s">
        <v>941</v>
      </c>
      <c r="E488" s="56" t="s">
        <v>20</v>
      </c>
      <c r="F488" s="54">
        <v>2009</v>
      </c>
      <c r="G488" s="54" t="s">
        <v>326</v>
      </c>
      <c r="H488" s="54"/>
      <c r="I488" s="54"/>
      <c r="J488" s="66" t="s">
        <v>1034</v>
      </c>
      <c r="K488" s="54" t="s">
        <v>1035</v>
      </c>
      <c r="L488" s="54" t="s">
        <v>232</v>
      </c>
      <c r="M488" s="54"/>
      <c r="N488" s="54"/>
      <c r="O488" s="54">
        <v>59</v>
      </c>
      <c r="P488" s="54"/>
      <c r="Q488" s="54"/>
      <c r="R488" s="54"/>
      <c r="S488" s="54"/>
      <c r="T488" s="54"/>
      <c r="U488" s="54">
        <v>0.94</v>
      </c>
      <c r="V488" s="54"/>
      <c r="W488" s="54"/>
      <c r="X488" s="66">
        <f t="shared" si="24"/>
        <v>0.94</v>
      </c>
      <c r="Y488" s="71">
        <v>71.099999999999994</v>
      </c>
      <c r="Z488" s="192" t="str">
        <f t="shared" si="26"/>
        <v>F</v>
      </c>
      <c r="AA488" s="66"/>
      <c r="AB488" s="66"/>
      <c r="AC488" s="66"/>
      <c r="AD488" s="172"/>
      <c r="AE488" s="172"/>
      <c r="AF488" s="172"/>
      <c r="AG488" s="172"/>
      <c r="AH488" s="172"/>
      <c r="AI488" s="172"/>
      <c r="AJ488" s="172"/>
      <c r="AK488" s="172"/>
      <c r="AL488" s="172"/>
    </row>
    <row r="489" spans="1:38" s="45" customFormat="1">
      <c r="A489" s="53">
        <v>182</v>
      </c>
      <c r="B489" s="168" t="s">
        <v>875</v>
      </c>
      <c r="C489" s="54">
        <v>2010</v>
      </c>
      <c r="D489" s="73" t="s">
        <v>876</v>
      </c>
      <c r="E489" s="56" t="s">
        <v>20</v>
      </c>
      <c r="F489" s="54">
        <v>2008</v>
      </c>
      <c r="G489" s="54" t="s">
        <v>879</v>
      </c>
      <c r="H489" s="54" t="s">
        <v>880</v>
      </c>
      <c r="I489" s="54"/>
      <c r="J489" s="66" t="s">
        <v>1034</v>
      </c>
      <c r="K489" s="54" t="s">
        <v>1116</v>
      </c>
      <c r="L489" s="54" t="s">
        <v>885</v>
      </c>
      <c r="M489" s="54"/>
      <c r="N489" s="54"/>
      <c r="O489" s="54" t="s">
        <v>887</v>
      </c>
      <c r="P489" s="54"/>
      <c r="Q489" s="54"/>
      <c r="R489" s="54">
        <v>0.94</v>
      </c>
      <c r="S489" s="54"/>
      <c r="T489" s="54"/>
      <c r="U489" s="54"/>
      <c r="V489" s="54"/>
      <c r="W489" s="54"/>
      <c r="X489" s="66">
        <f t="shared" si="24"/>
        <v>0.94</v>
      </c>
      <c r="Y489" s="71">
        <f>127.4*0.48</f>
        <v>61.152000000000001</v>
      </c>
      <c r="Z489" s="192" t="str">
        <f t="shared" si="26"/>
        <v>F</v>
      </c>
      <c r="AA489" s="66"/>
      <c r="AB489" s="66"/>
      <c r="AC489" s="66"/>
      <c r="AD489" s="172"/>
      <c r="AE489" s="172"/>
      <c r="AF489" s="172"/>
      <c r="AG489" s="172"/>
      <c r="AH489" s="172"/>
      <c r="AI489" s="172"/>
      <c r="AJ489" s="172"/>
      <c r="AK489" s="172"/>
      <c r="AL489" s="172"/>
    </row>
    <row r="490" spans="1:38" s="45" customFormat="1">
      <c r="A490" s="53">
        <v>182</v>
      </c>
      <c r="B490" s="168" t="s">
        <v>875</v>
      </c>
      <c r="C490" s="54">
        <v>2010</v>
      </c>
      <c r="D490" s="73" t="s">
        <v>876</v>
      </c>
      <c r="E490" s="56" t="s">
        <v>20</v>
      </c>
      <c r="F490" s="54">
        <v>2008</v>
      </c>
      <c r="G490" s="54" t="s">
        <v>879</v>
      </c>
      <c r="H490" s="54" t="s">
        <v>880</v>
      </c>
      <c r="I490" s="54"/>
      <c r="J490" s="66" t="s">
        <v>1034</v>
      </c>
      <c r="K490" s="54" t="s">
        <v>1120</v>
      </c>
      <c r="L490" s="54" t="s">
        <v>234</v>
      </c>
      <c r="M490" s="54"/>
      <c r="N490" s="54"/>
      <c r="O490" s="54" t="s">
        <v>889</v>
      </c>
      <c r="P490" s="54"/>
      <c r="Q490" s="54"/>
      <c r="R490" s="54">
        <v>0.94</v>
      </c>
      <c r="S490" s="54"/>
      <c r="T490" s="54"/>
      <c r="U490" s="54"/>
      <c r="V490" s="54"/>
      <c r="W490" s="54"/>
      <c r="X490" s="66">
        <f t="shared" si="24"/>
        <v>0.94</v>
      </c>
      <c r="Y490" s="71">
        <f>128.4*0.48</f>
        <v>61.631999999999998</v>
      </c>
      <c r="Z490" s="192" t="str">
        <f t="shared" si="26"/>
        <v>F</v>
      </c>
      <c r="AA490" s="66"/>
      <c r="AB490" s="66"/>
      <c r="AC490" s="66"/>
      <c r="AD490" s="172"/>
      <c r="AE490" s="172"/>
      <c r="AF490" s="172"/>
      <c r="AG490" s="172"/>
      <c r="AH490" s="172"/>
      <c r="AI490" s="172"/>
      <c r="AJ490" s="172"/>
      <c r="AK490" s="172"/>
      <c r="AL490" s="172"/>
    </row>
    <row r="491" spans="1:38" s="45" customFormat="1">
      <c r="A491" s="53">
        <v>182</v>
      </c>
      <c r="B491" s="168" t="s">
        <v>875</v>
      </c>
      <c r="C491" s="54">
        <v>2010</v>
      </c>
      <c r="D491" s="73" t="s">
        <v>876</v>
      </c>
      <c r="E491" s="56" t="s">
        <v>20</v>
      </c>
      <c r="F491" s="54">
        <v>2008</v>
      </c>
      <c r="G491" s="54" t="s">
        <v>879</v>
      </c>
      <c r="H491" s="54" t="s">
        <v>880</v>
      </c>
      <c r="I491" s="54"/>
      <c r="J491" s="66" t="s">
        <v>1034</v>
      </c>
      <c r="K491" s="54" t="s">
        <v>1118</v>
      </c>
      <c r="L491" s="54" t="s">
        <v>1164</v>
      </c>
      <c r="M491" s="54"/>
      <c r="N491" s="54"/>
      <c r="O491" s="54" t="s">
        <v>882</v>
      </c>
      <c r="P491" s="54"/>
      <c r="Q491" s="54"/>
      <c r="R491" s="54">
        <v>0.94</v>
      </c>
      <c r="S491" s="54"/>
      <c r="T491" s="54"/>
      <c r="U491" s="54"/>
      <c r="V491" s="54"/>
      <c r="W491" s="54"/>
      <c r="X491" s="66">
        <f t="shared" si="24"/>
        <v>0.94</v>
      </c>
      <c r="Y491" s="71">
        <f>126.2*0.5</f>
        <v>63.1</v>
      </c>
      <c r="Z491" s="192" t="str">
        <f t="shared" si="26"/>
        <v>F</v>
      </c>
      <c r="AA491" s="66"/>
      <c r="AB491" s="66"/>
      <c r="AC491" s="66"/>
      <c r="AD491" s="172"/>
      <c r="AE491" s="172"/>
      <c r="AF491" s="172"/>
      <c r="AG491" s="172"/>
      <c r="AH491" s="172"/>
      <c r="AI491" s="172"/>
      <c r="AJ491" s="172"/>
      <c r="AK491" s="172"/>
      <c r="AL491" s="172"/>
    </row>
    <row r="492" spans="1:38" s="45" customFormat="1">
      <c r="A492" s="53">
        <v>172</v>
      </c>
      <c r="B492" s="54" t="s">
        <v>585</v>
      </c>
      <c r="C492" s="54">
        <v>2010</v>
      </c>
      <c r="D492" s="54" t="s">
        <v>586</v>
      </c>
      <c r="E492" s="56" t="s">
        <v>589</v>
      </c>
      <c r="F492" s="57">
        <v>40220</v>
      </c>
      <c r="G492" s="54" t="s">
        <v>595</v>
      </c>
      <c r="H492" s="54" t="s">
        <v>146</v>
      </c>
      <c r="I492" s="54"/>
      <c r="J492" s="66" t="s">
        <v>1034</v>
      </c>
      <c r="K492" s="54" t="s">
        <v>1038</v>
      </c>
      <c r="L492" s="54" t="s">
        <v>596</v>
      </c>
      <c r="M492" s="88" t="s">
        <v>597</v>
      </c>
      <c r="N492" s="88" t="s">
        <v>598</v>
      </c>
      <c r="O492" s="54"/>
      <c r="P492" s="60"/>
      <c r="Q492" s="60"/>
      <c r="R492" s="54"/>
      <c r="S492" s="54"/>
      <c r="T492" s="54"/>
      <c r="U492" s="60">
        <v>0.94399999999999995</v>
      </c>
      <c r="V492" s="167"/>
      <c r="W492" s="167"/>
      <c r="X492" s="66">
        <f t="shared" si="24"/>
        <v>0.94399999999999995</v>
      </c>
      <c r="Y492" s="71">
        <v>65.56</v>
      </c>
      <c r="Z492" s="192" t="str">
        <f t="shared" si="26"/>
        <v>F</v>
      </c>
      <c r="AA492" s="66"/>
      <c r="AB492" s="66"/>
      <c r="AC492" s="66"/>
      <c r="AD492" s="172"/>
      <c r="AE492" s="172"/>
      <c r="AF492" s="172"/>
      <c r="AG492" s="172"/>
      <c r="AH492" s="172"/>
      <c r="AI492" s="172"/>
      <c r="AJ492" s="172"/>
      <c r="AK492" s="172"/>
      <c r="AL492" s="172"/>
    </row>
    <row r="493" spans="1:38" s="45" customFormat="1">
      <c r="A493" s="53">
        <v>172</v>
      </c>
      <c r="B493" s="54" t="s">
        <v>585</v>
      </c>
      <c r="C493" s="54">
        <v>2010</v>
      </c>
      <c r="D493" s="54" t="s">
        <v>586</v>
      </c>
      <c r="E493" s="56" t="s">
        <v>589</v>
      </c>
      <c r="F493" s="57">
        <v>40218</v>
      </c>
      <c r="G493" s="54" t="s">
        <v>590</v>
      </c>
      <c r="H493" s="54" t="s">
        <v>146</v>
      </c>
      <c r="I493" s="54"/>
      <c r="J493" s="66" t="s">
        <v>1034</v>
      </c>
      <c r="K493" s="54" t="s">
        <v>1065</v>
      </c>
      <c r="L493" s="54" t="s">
        <v>591</v>
      </c>
      <c r="M493" s="59" t="s">
        <v>592</v>
      </c>
      <c r="N493" s="59"/>
      <c r="O493" s="54"/>
      <c r="P493" s="54"/>
      <c r="Q493" s="54"/>
      <c r="R493" s="54"/>
      <c r="S493" s="54"/>
      <c r="T493" s="54"/>
      <c r="U493" s="60">
        <v>0.94599999999999995</v>
      </c>
      <c r="V493" s="167"/>
      <c r="W493" s="167"/>
      <c r="X493" s="66">
        <f t="shared" si="24"/>
        <v>0.94599999999999995</v>
      </c>
      <c r="Y493" s="71">
        <v>63.88</v>
      </c>
      <c r="Z493" s="192" t="str">
        <f t="shared" si="26"/>
        <v>F</v>
      </c>
      <c r="AA493" s="66"/>
      <c r="AB493" s="66"/>
      <c r="AC493" s="66"/>
      <c r="AD493" s="172"/>
      <c r="AE493" s="172"/>
      <c r="AF493" s="172"/>
      <c r="AG493" s="172"/>
      <c r="AH493" s="172"/>
      <c r="AI493" s="172"/>
      <c r="AJ493" s="172"/>
      <c r="AK493" s="172"/>
      <c r="AL493" s="172"/>
    </row>
    <row r="494" spans="1:38" s="45" customFormat="1">
      <c r="A494" s="53">
        <v>173</v>
      </c>
      <c r="B494" s="54" t="s">
        <v>585</v>
      </c>
      <c r="C494" s="54">
        <v>2011</v>
      </c>
      <c r="D494" s="78" t="s">
        <v>636</v>
      </c>
      <c r="E494" s="56" t="s">
        <v>638</v>
      </c>
      <c r="F494" s="57" t="s">
        <v>673</v>
      </c>
      <c r="G494" s="54" t="s">
        <v>674</v>
      </c>
      <c r="H494" s="54" t="s">
        <v>146</v>
      </c>
      <c r="I494" s="54"/>
      <c r="J494" s="66" t="s">
        <v>1034</v>
      </c>
      <c r="K494" s="54" t="s">
        <v>1038</v>
      </c>
      <c r="L494" s="54" t="s">
        <v>675</v>
      </c>
      <c r="M494" s="59"/>
      <c r="N494" s="59"/>
      <c r="O494" s="54" t="s">
        <v>676</v>
      </c>
      <c r="P494" s="60"/>
      <c r="Q494" s="60"/>
      <c r="R494" s="54"/>
      <c r="S494" s="54"/>
      <c r="T494" s="54"/>
      <c r="U494" s="61">
        <v>0.94699999999999995</v>
      </c>
      <c r="V494" s="61"/>
      <c r="W494" s="61"/>
      <c r="X494" s="66">
        <f t="shared" si="24"/>
        <v>0.94699999999999995</v>
      </c>
      <c r="Y494" s="71">
        <v>61</v>
      </c>
      <c r="Z494" s="192" t="str">
        <f t="shared" si="26"/>
        <v>F</v>
      </c>
      <c r="AA494" s="66"/>
      <c r="AB494" s="66"/>
      <c r="AC494" s="66"/>
      <c r="AD494" s="172"/>
      <c r="AE494" s="172"/>
      <c r="AF494" s="172"/>
      <c r="AG494" s="172"/>
      <c r="AH494" s="172"/>
      <c r="AI494" s="172"/>
      <c r="AJ494" s="172"/>
      <c r="AK494" s="172"/>
      <c r="AL494" s="172"/>
    </row>
    <row r="495" spans="1:38" s="45" customFormat="1">
      <c r="A495" s="53">
        <v>172</v>
      </c>
      <c r="B495" s="54" t="s">
        <v>585</v>
      </c>
      <c r="C495" s="54">
        <v>2010</v>
      </c>
      <c r="D495" s="54" t="s">
        <v>586</v>
      </c>
      <c r="E495" s="56" t="s">
        <v>589</v>
      </c>
      <c r="F495" s="57">
        <v>40222</v>
      </c>
      <c r="G495" s="54" t="s">
        <v>595</v>
      </c>
      <c r="H495" s="54" t="s">
        <v>146</v>
      </c>
      <c r="I495" s="54"/>
      <c r="J495" s="66" t="s">
        <v>1034</v>
      </c>
      <c r="K495" s="54" t="s">
        <v>1066</v>
      </c>
      <c r="L495" s="54" t="s">
        <v>602</v>
      </c>
      <c r="M495" s="88" t="s">
        <v>603</v>
      </c>
      <c r="N495" s="88" t="s">
        <v>604</v>
      </c>
      <c r="O495" s="54"/>
      <c r="P495" s="60"/>
      <c r="Q495" s="60"/>
      <c r="R495" s="54"/>
      <c r="S495" s="54"/>
      <c r="T495" s="54"/>
      <c r="U495" s="60">
        <v>0.94799999999999995</v>
      </c>
      <c r="V495" s="167"/>
      <c r="W495" s="167"/>
      <c r="X495" s="66">
        <f t="shared" si="24"/>
        <v>0.94799999999999995</v>
      </c>
      <c r="Y495" s="71">
        <v>64.31</v>
      </c>
      <c r="Z495" s="192" t="str">
        <f t="shared" si="26"/>
        <v>F</v>
      </c>
      <c r="AA495" s="66"/>
      <c r="AB495" s="66"/>
      <c r="AC495" s="66"/>
      <c r="AD495" s="172"/>
      <c r="AE495" s="172"/>
      <c r="AF495" s="172"/>
      <c r="AG495" s="172"/>
      <c r="AH495" s="172"/>
      <c r="AI495" s="172"/>
      <c r="AJ495" s="172"/>
      <c r="AK495" s="172"/>
      <c r="AL495" s="172"/>
    </row>
    <row r="496" spans="1:38" s="45" customFormat="1">
      <c r="A496" s="53">
        <v>173</v>
      </c>
      <c r="B496" s="54" t="s">
        <v>585</v>
      </c>
      <c r="C496" s="54">
        <v>2011</v>
      </c>
      <c r="D496" s="78" t="s">
        <v>636</v>
      </c>
      <c r="E496" s="56" t="s">
        <v>638</v>
      </c>
      <c r="F496" s="57" t="s">
        <v>662</v>
      </c>
      <c r="G496" s="54" t="s">
        <v>595</v>
      </c>
      <c r="H496" s="54" t="s">
        <v>146</v>
      </c>
      <c r="I496" s="54"/>
      <c r="J496" s="66" t="s">
        <v>1034</v>
      </c>
      <c r="K496" s="54" t="s">
        <v>1038</v>
      </c>
      <c r="L496" s="54" t="s">
        <v>663</v>
      </c>
      <c r="M496" s="59"/>
      <c r="N496" s="59"/>
      <c r="O496" s="54" t="s">
        <v>664</v>
      </c>
      <c r="P496" s="60"/>
      <c r="Q496" s="60"/>
      <c r="R496" s="54"/>
      <c r="S496" s="54"/>
      <c r="T496" s="54"/>
      <c r="U496" s="61">
        <v>0.95</v>
      </c>
      <c r="V496" s="61"/>
      <c r="W496" s="61"/>
      <c r="X496" s="66">
        <f t="shared" si="24"/>
        <v>0.95</v>
      </c>
      <c r="Y496" s="71">
        <v>58</v>
      </c>
      <c r="Z496" s="192" t="str">
        <f t="shared" si="26"/>
        <v>F</v>
      </c>
      <c r="AA496" s="66"/>
      <c r="AB496" s="66"/>
      <c r="AC496" s="66"/>
      <c r="AD496" s="172"/>
      <c r="AE496" s="172"/>
      <c r="AF496" s="172"/>
      <c r="AG496" s="172"/>
      <c r="AH496" s="172"/>
      <c r="AI496" s="172"/>
      <c r="AJ496" s="172"/>
      <c r="AK496" s="172"/>
      <c r="AL496" s="172"/>
    </row>
    <row r="497" spans="1:38" s="45" customFormat="1">
      <c r="A497" s="53">
        <v>172</v>
      </c>
      <c r="B497" s="54" t="s">
        <v>585</v>
      </c>
      <c r="C497" s="54">
        <v>2010</v>
      </c>
      <c r="D497" s="54" t="s">
        <v>586</v>
      </c>
      <c r="E497" s="56" t="s">
        <v>589</v>
      </c>
      <c r="F497" s="57">
        <v>40223</v>
      </c>
      <c r="G497" s="54" t="s">
        <v>595</v>
      </c>
      <c r="H497" s="54" t="s">
        <v>146</v>
      </c>
      <c r="I497" s="54"/>
      <c r="J497" s="66" t="s">
        <v>1034</v>
      </c>
      <c r="K497" s="54" t="s">
        <v>1043</v>
      </c>
      <c r="L497" s="54" t="s">
        <v>605</v>
      </c>
      <c r="M497" s="88" t="s">
        <v>606</v>
      </c>
      <c r="N497" s="88" t="s">
        <v>607</v>
      </c>
      <c r="O497" s="54"/>
      <c r="P497" s="60"/>
      <c r="Q497" s="60"/>
      <c r="R497" s="54"/>
      <c r="S497" s="54"/>
      <c r="T497" s="54"/>
      <c r="U497" s="60">
        <v>0.95199999999999996</v>
      </c>
      <c r="V497" s="167"/>
      <c r="W497" s="167"/>
      <c r="X497" s="66">
        <f t="shared" si="24"/>
        <v>0.95199999999999996</v>
      </c>
      <c r="Y497" s="71">
        <v>56.44</v>
      </c>
      <c r="Z497" s="192" t="str">
        <f t="shared" si="26"/>
        <v>F</v>
      </c>
      <c r="AA497" s="66"/>
      <c r="AB497" s="66"/>
      <c r="AC497" s="66"/>
      <c r="AD497" s="172"/>
      <c r="AE497" s="172"/>
      <c r="AF497" s="172"/>
      <c r="AG497" s="172"/>
      <c r="AH497" s="172"/>
      <c r="AI497" s="172"/>
      <c r="AJ497" s="172"/>
      <c r="AK497" s="172"/>
      <c r="AL497" s="172"/>
    </row>
    <row r="498" spans="1:38" s="45" customFormat="1">
      <c r="A498" s="53">
        <v>172</v>
      </c>
      <c r="B498" s="54" t="s">
        <v>585</v>
      </c>
      <c r="C498" s="54">
        <v>2010</v>
      </c>
      <c r="D498" s="54" t="s">
        <v>586</v>
      </c>
      <c r="E498" s="56" t="s">
        <v>589</v>
      </c>
      <c r="F498" s="57">
        <v>40224</v>
      </c>
      <c r="G498" s="54" t="s">
        <v>608</v>
      </c>
      <c r="H498" s="54" t="s">
        <v>581</v>
      </c>
      <c r="I498" s="54"/>
      <c r="J498" s="66" t="s">
        <v>1034</v>
      </c>
      <c r="K498" s="54" t="s">
        <v>1061</v>
      </c>
      <c r="L498" s="54" t="s">
        <v>609</v>
      </c>
      <c r="M498" s="88" t="s">
        <v>610</v>
      </c>
      <c r="N498" s="88"/>
      <c r="O498" s="54"/>
      <c r="P498" s="60"/>
      <c r="Q498" s="60"/>
      <c r="R498" s="54"/>
      <c r="S498" s="54"/>
      <c r="T498" s="54"/>
      <c r="U498" s="60">
        <v>0.95399999999999996</v>
      </c>
      <c r="V498" s="167"/>
      <c r="W498" s="167"/>
      <c r="X498" s="66">
        <f t="shared" si="24"/>
        <v>0.95399999999999996</v>
      </c>
      <c r="Y498" s="71">
        <v>52.3</v>
      </c>
      <c r="Z498" s="192" t="str">
        <f t="shared" si="26"/>
        <v>F</v>
      </c>
      <c r="AA498" s="66"/>
      <c r="AB498" s="66"/>
      <c r="AC498" s="66"/>
      <c r="AD498" s="172"/>
      <c r="AE498" s="172"/>
      <c r="AF498" s="172"/>
      <c r="AG498" s="172"/>
      <c r="AH498" s="172"/>
      <c r="AI498" s="172"/>
      <c r="AJ498" s="172"/>
      <c r="AK498" s="172"/>
      <c r="AL498" s="172"/>
    </row>
    <row r="499" spans="1:38" s="45" customFormat="1">
      <c r="A499" s="53">
        <v>174</v>
      </c>
      <c r="B499" s="54" t="s">
        <v>697</v>
      </c>
      <c r="C499" s="54">
        <v>2009</v>
      </c>
      <c r="D499" s="78" t="s">
        <v>698</v>
      </c>
      <c r="E499" s="56" t="s">
        <v>20</v>
      </c>
      <c r="F499" s="57" t="s">
        <v>701</v>
      </c>
      <c r="G499" s="54" t="s">
        <v>745</v>
      </c>
      <c r="H499" s="54" t="s">
        <v>746</v>
      </c>
      <c r="I499" s="54"/>
      <c r="J499" s="66" t="s">
        <v>1034</v>
      </c>
      <c r="K499" s="54" t="s">
        <v>1105</v>
      </c>
      <c r="L499" s="54" t="s">
        <v>747</v>
      </c>
      <c r="M499" s="59"/>
      <c r="N499" s="59"/>
      <c r="O499" s="54" t="s">
        <v>748</v>
      </c>
      <c r="P499" s="60"/>
      <c r="Q499" s="60"/>
      <c r="R499" s="54"/>
      <c r="S499" s="54"/>
      <c r="T499" s="54"/>
      <c r="U499" s="61">
        <v>0.95599999999999996</v>
      </c>
      <c r="V499" s="61"/>
      <c r="W499" s="61"/>
      <c r="X499" s="66">
        <f t="shared" si="24"/>
        <v>0.95599999999999996</v>
      </c>
      <c r="Y499" s="71">
        <v>51</v>
      </c>
      <c r="Z499" s="192" t="str">
        <f t="shared" si="26"/>
        <v>F</v>
      </c>
      <c r="AA499" s="66"/>
      <c r="AB499" s="66"/>
      <c r="AC499" s="66"/>
      <c r="AD499" s="172"/>
      <c r="AE499" s="172"/>
      <c r="AF499" s="172"/>
      <c r="AG499" s="172"/>
      <c r="AH499" s="172"/>
      <c r="AI499" s="172"/>
      <c r="AJ499" s="172"/>
      <c r="AK499" s="172"/>
      <c r="AL499" s="172"/>
    </row>
    <row r="500" spans="1:38" s="45" customFormat="1">
      <c r="A500" s="53">
        <v>197</v>
      </c>
      <c r="B500" s="73" t="s">
        <v>875</v>
      </c>
      <c r="C500" s="54">
        <v>2007</v>
      </c>
      <c r="D500" s="73" t="s">
        <v>928</v>
      </c>
      <c r="E500" s="56" t="s">
        <v>20</v>
      </c>
      <c r="F500" s="54">
        <v>2003</v>
      </c>
      <c r="G500" s="54" t="s">
        <v>326</v>
      </c>
      <c r="H500" s="54" t="s">
        <v>159</v>
      </c>
      <c r="I500" s="54"/>
      <c r="J500" s="66" t="s">
        <v>1034</v>
      </c>
      <c r="K500" s="54" t="s">
        <v>1101</v>
      </c>
      <c r="L500" s="54" t="s">
        <v>366</v>
      </c>
      <c r="M500" s="54"/>
      <c r="N500" s="54"/>
      <c r="O500" s="54" t="s">
        <v>933</v>
      </c>
      <c r="P500" s="54">
        <v>0.96</v>
      </c>
      <c r="Q500" s="66"/>
      <c r="R500" s="66">
        <f>+P500</f>
        <v>0.96</v>
      </c>
      <c r="S500" s="66"/>
      <c r="T500" s="66"/>
      <c r="U500" s="66"/>
      <c r="V500" s="54">
        <v>22.6</v>
      </c>
      <c r="W500" s="66"/>
      <c r="X500" s="66">
        <f t="shared" si="24"/>
        <v>0.96</v>
      </c>
      <c r="Y500" s="206">
        <f>+V500</f>
        <v>22.6</v>
      </c>
      <c r="Z500" s="192" t="str">
        <f t="shared" si="26"/>
        <v>F</v>
      </c>
      <c r="AA500" s="66"/>
      <c r="AB500" s="66"/>
      <c r="AC500" s="66"/>
      <c r="AD500" s="172"/>
      <c r="AE500" s="172"/>
      <c r="AF500" s="172"/>
      <c r="AG500" s="172"/>
      <c r="AH500" s="172"/>
      <c r="AI500" s="172"/>
      <c r="AJ500" s="172"/>
      <c r="AK500" s="172"/>
      <c r="AL500" s="172"/>
    </row>
    <row r="501" spans="1:38" s="45" customFormat="1">
      <c r="A501" s="53">
        <v>66</v>
      </c>
      <c r="B501" s="60" t="s">
        <v>45</v>
      </c>
      <c r="C501" s="60">
        <v>1989</v>
      </c>
      <c r="D501" s="60" t="s">
        <v>187</v>
      </c>
      <c r="E501" s="56" t="s">
        <v>49</v>
      </c>
      <c r="F501" s="69">
        <v>31593</v>
      </c>
      <c r="G501" s="54" t="s">
        <v>190</v>
      </c>
      <c r="H501" s="54" t="s">
        <v>146</v>
      </c>
      <c r="I501" s="54"/>
      <c r="J501" s="54" t="s">
        <v>1034</v>
      </c>
      <c r="K501" s="54" t="s">
        <v>166</v>
      </c>
      <c r="L501" s="54" t="s">
        <v>166</v>
      </c>
      <c r="M501" s="54"/>
      <c r="N501" s="54"/>
      <c r="O501" s="54" t="s">
        <v>191</v>
      </c>
      <c r="P501" s="54"/>
      <c r="Q501" s="54"/>
      <c r="R501" s="54"/>
      <c r="S501" s="54"/>
      <c r="T501" s="54"/>
      <c r="U501" s="54"/>
      <c r="V501" s="54"/>
      <c r="W501" s="54"/>
      <c r="X501" s="66" t="str">
        <f t="shared" si="24"/>
        <v/>
      </c>
      <c r="Y501" s="71">
        <v>66.2</v>
      </c>
      <c r="Z501" s="192" t="s">
        <v>1192</v>
      </c>
      <c r="AA501" s="66"/>
      <c r="AB501" s="66"/>
      <c r="AC501" s="66"/>
      <c r="AD501" s="172"/>
      <c r="AE501" s="172"/>
      <c r="AF501" s="172"/>
      <c r="AG501" s="172"/>
      <c r="AH501" s="172"/>
      <c r="AI501" s="172"/>
      <c r="AJ501" s="172"/>
      <c r="AK501" s="172"/>
      <c r="AL501" s="172"/>
    </row>
    <row r="502" spans="1:38" s="45" customFormat="1">
      <c r="A502" s="53">
        <v>66</v>
      </c>
      <c r="B502" s="60" t="s">
        <v>45</v>
      </c>
      <c r="C502" s="60">
        <v>1989</v>
      </c>
      <c r="D502" s="60" t="s">
        <v>187</v>
      </c>
      <c r="E502" s="56" t="s">
        <v>49</v>
      </c>
      <c r="F502" s="54" t="s">
        <v>195</v>
      </c>
      <c r="G502" s="54" t="s">
        <v>190</v>
      </c>
      <c r="H502" s="54" t="s">
        <v>146</v>
      </c>
      <c r="I502" s="54"/>
      <c r="J502" s="54" t="s">
        <v>1034</v>
      </c>
      <c r="K502" s="54" t="s">
        <v>1065</v>
      </c>
      <c r="L502" s="54" t="s">
        <v>196</v>
      </c>
      <c r="M502" s="54"/>
      <c r="N502" s="54"/>
      <c r="O502" s="54" t="s">
        <v>198</v>
      </c>
      <c r="P502" s="54"/>
      <c r="Q502" s="54"/>
      <c r="R502" s="54"/>
      <c r="S502" s="54"/>
      <c r="T502" s="54"/>
      <c r="U502" s="54"/>
      <c r="V502" s="54"/>
      <c r="W502" s="54"/>
      <c r="X502" s="66" t="str">
        <f t="shared" si="24"/>
        <v/>
      </c>
      <c r="Y502" s="71">
        <v>34.4</v>
      </c>
      <c r="Z502" s="192" t="s">
        <v>1192</v>
      </c>
      <c r="AA502" s="66"/>
      <c r="AB502" s="66"/>
      <c r="AC502" s="66"/>
      <c r="AD502" s="172"/>
      <c r="AE502" s="172"/>
      <c r="AF502" s="172"/>
      <c r="AG502" s="172"/>
      <c r="AH502" s="172"/>
      <c r="AI502" s="172"/>
      <c r="AJ502" s="172"/>
      <c r="AK502" s="172"/>
      <c r="AL502" s="172"/>
    </row>
    <row r="503" spans="1:38" s="45" customFormat="1">
      <c r="A503" s="53">
        <v>66</v>
      </c>
      <c r="B503" s="60" t="s">
        <v>45</v>
      </c>
      <c r="C503" s="60">
        <v>1989</v>
      </c>
      <c r="D503" s="60" t="s">
        <v>187</v>
      </c>
      <c r="E503" s="56" t="s">
        <v>49</v>
      </c>
      <c r="F503" s="54" t="s">
        <v>192</v>
      </c>
      <c r="G503" s="54" t="s">
        <v>190</v>
      </c>
      <c r="H503" s="54" t="s">
        <v>146</v>
      </c>
      <c r="I503" s="54"/>
      <c r="J503" s="54" t="s">
        <v>1034</v>
      </c>
      <c r="K503" s="54" t="s">
        <v>1035</v>
      </c>
      <c r="L503" s="54" t="s">
        <v>193</v>
      </c>
      <c r="M503" s="54"/>
      <c r="N503" s="54"/>
      <c r="O503" s="54" t="s">
        <v>199</v>
      </c>
      <c r="P503" s="54"/>
      <c r="Q503" s="54"/>
      <c r="R503" s="54"/>
      <c r="S503" s="54"/>
      <c r="T503" s="54"/>
      <c r="U503" s="54"/>
      <c r="V503" s="54"/>
      <c r="W503" s="54"/>
      <c r="X503" s="66" t="str">
        <f t="shared" si="24"/>
        <v/>
      </c>
      <c r="Y503" s="71">
        <v>48</v>
      </c>
      <c r="Z503" s="192" t="s">
        <v>1192</v>
      </c>
      <c r="AA503" s="66"/>
      <c r="AB503" s="66"/>
      <c r="AC503" s="66"/>
      <c r="AD503" s="172"/>
      <c r="AE503" s="172"/>
      <c r="AF503" s="172"/>
      <c r="AG503" s="172"/>
      <c r="AH503" s="172"/>
      <c r="AI503" s="172"/>
      <c r="AJ503" s="172"/>
      <c r="AK503" s="172"/>
      <c r="AL503" s="172"/>
    </row>
    <row r="504" spans="1:38" s="45" customFormat="1">
      <c r="A504" s="53">
        <v>66</v>
      </c>
      <c r="B504" s="60" t="s">
        <v>45</v>
      </c>
      <c r="C504" s="60">
        <v>1989</v>
      </c>
      <c r="D504" s="60" t="s">
        <v>187</v>
      </c>
      <c r="E504" s="56" t="s">
        <v>49</v>
      </c>
      <c r="F504" s="54" t="s">
        <v>192</v>
      </c>
      <c r="G504" s="54" t="s">
        <v>190</v>
      </c>
      <c r="H504" s="54" t="s">
        <v>146</v>
      </c>
      <c r="I504" s="54"/>
      <c r="J504" s="54" t="s">
        <v>1034</v>
      </c>
      <c r="K504" s="54" t="s">
        <v>1035</v>
      </c>
      <c r="L504" s="54" t="s">
        <v>193</v>
      </c>
      <c r="M504" s="54"/>
      <c r="N504" s="54"/>
      <c r="O504" s="54" t="s">
        <v>194</v>
      </c>
      <c r="P504" s="54"/>
      <c r="Q504" s="54"/>
      <c r="R504" s="54"/>
      <c r="S504" s="54"/>
      <c r="T504" s="54"/>
      <c r="U504" s="54"/>
      <c r="V504" s="54"/>
      <c r="W504" s="54"/>
      <c r="X504" s="66" t="str">
        <f t="shared" si="24"/>
        <v/>
      </c>
      <c r="Y504" s="71">
        <v>55.8</v>
      </c>
      <c r="Z504" s="192" t="s">
        <v>1192</v>
      </c>
      <c r="AA504" s="66"/>
      <c r="AB504" s="66"/>
      <c r="AC504" s="66"/>
      <c r="AD504" s="172"/>
      <c r="AE504" s="172"/>
      <c r="AF504" s="172"/>
      <c r="AG504" s="172"/>
      <c r="AH504" s="172"/>
      <c r="AI504" s="172"/>
      <c r="AJ504" s="172"/>
      <c r="AK504" s="172"/>
      <c r="AL504" s="172"/>
    </row>
    <row r="505" spans="1:38" s="45" customFormat="1">
      <c r="A505" s="53">
        <v>66</v>
      </c>
      <c r="B505" s="60" t="s">
        <v>45</v>
      </c>
      <c r="C505" s="60">
        <v>1989</v>
      </c>
      <c r="D505" s="60" t="s">
        <v>187</v>
      </c>
      <c r="E505" s="56" t="s">
        <v>49</v>
      </c>
      <c r="F505" s="54" t="s">
        <v>192</v>
      </c>
      <c r="G505" s="54" t="s">
        <v>190</v>
      </c>
      <c r="H505" s="54" t="s">
        <v>146</v>
      </c>
      <c r="I505" s="54"/>
      <c r="J505" s="54" t="s">
        <v>1034</v>
      </c>
      <c r="K505" s="54" t="s">
        <v>1035</v>
      </c>
      <c r="L505" s="54" t="s">
        <v>193</v>
      </c>
      <c r="M505" s="54"/>
      <c r="N505" s="54"/>
      <c r="O505" s="54" t="s">
        <v>200</v>
      </c>
      <c r="P505" s="54"/>
      <c r="Q505" s="54"/>
      <c r="R505" s="54"/>
      <c r="S505" s="54"/>
      <c r="T505" s="54"/>
      <c r="U505" s="54"/>
      <c r="V505" s="54"/>
      <c r="W505" s="54"/>
      <c r="X505" s="66" t="str">
        <f t="shared" si="24"/>
        <v/>
      </c>
      <c r="Y505" s="71">
        <v>60.4</v>
      </c>
      <c r="Z505" s="192" t="s">
        <v>1192</v>
      </c>
      <c r="AA505" s="66"/>
      <c r="AB505" s="66"/>
      <c r="AC505" s="66"/>
      <c r="AD505" s="172"/>
      <c r="AE505" s="172"/>
      <c r="AF505" s="172"/>
      <c r="AG505" s="172"/>
      <c r="AH505" s="172"/>
      <c r="AI505" s="172"/>
      <c r="AJ505" s="172"/>
      <c r="AK505" s="172"/>
      <c r="AL505" s="172"/>
    </row>
    <row r="506" spans="1:38" s="45" customFormat="1">
      <c r="A506" s="53">
        <v>86</v>
      </c>
      <c r="B506" s="60" t="s">
        <v>223</v>
      </c>
      <c r="C506" s="60">
        <v>1991</v>
      </c>
      <c r="D506" s="60" t="s">
        <v>224</v>
      </c>
      <c r="E506" s="56" t="s">
        <v>20</v>
      </c>
      <c r="F506" s="69">
        <v>32857</v>
      </c>
      <c r="G506" s="54" t="s">
        <v>227</v>
      </c>
      <c r="H506" s="54" t="s">
        <v>146</v>
      </c>
      <c r="I506" s="54"/>
      <c r="J506" s="54" t="s">
        <v>1034</v>
      </c>
      <c r="K506" s="54" t="s">
        <v>1065</v>
      </c>
      <c r="L506" s="54" t="s">
        <v>228</v>
      </c>
      <c r="M506" s="54" t="s">
        <v>229</v>
      </c>
      <c r="N506" s="54"/>
      <c r="O506" s="54">
        <v>6</v>
      </c>
      <c r="P506" s="54"/>
      <c r="Q506" s="54"/>
      <c r="R506" s="54"/>
      <c r="S506" s="54"/>
      <c r="T506" s="54"/>
      <c r="U506" s="54"/>
      <c r="V506" s="54"/>
      <c r="W506" s="54"/>
      <c r="X506" s="66" t="str">
        <f t="shared" si="24"/>
        <v/>
      </c>
      <c r="Y506" s="71">
        <v>76</v>
      </c>
      <c r="Z506" s="192" t="str">
        <f t="shared" ref="Z506:Z536" si="27">IF(X506&lt;&gt;"",IF(X506&lt;0.9,"S","F"),"")</f>
        <v/>
      </c>
      <c r="AA506" s="66"/>
      <c r="AB506" s="66"/>
      <c r="AC506" s="66"/>
      <c r="AD506" s="172"/>
      <c r="AE506" s="172"/>
      <c r="AF506" s="172"/>
      <c r="AG506" s="172"/>
      <c r="AH506" s="172"/>
      <c r="AI506" s="172"/>
      <c r="AJ506" s="172"/>
      <c r="AK506" s="172"/>
      <c r="AL506" s="172"/>
    </row>
    <row r="507" spans="1:38" s="45" customFormat="1">
      <c r="A507" s="53">
        <v>86</v>
      </c>
      <c r="B507" s="60" t="s">
        <v>223</v>
      </c>
      <c r="C507" s="60">
        <v>1991</v>
      </c>
      <c r="D507" s="60" t="s">
        <v>224</v>
      </c>
      <c r="E507" s="56" t="s">
        <v>20</v>
      </c>
      <c r="F507" s="69">
        <v>32857</v>
      </c>
      <c r="G507" s="54" t="s">
        <v>227</v>
      </c>
      <c r="H507" s="54" t="s">
        <v>146</v>
      </c>
      <c r="I507" s="54"/>
      <c r="J507" s="54" t="s">
        <v>1034</v>
      </c>
      <c r="K507" s="54" t="s">
        <v>1065</v>
      </c>
      <c r="L507" s="54" t="s">
        <v>228</v>
      </c>
      <c r="M507" s="54" t="s">
        <v>229</v>
      </c>
      <c r="N507" s="54"/>
      <c r="O507" s="54">
        <v>1</v>
      </c>
      <c r="P507" s="54"/>
      <c r="Q507" s="54"/>
      <c r="R507" s="54"/>
      <c r="S507" s="54"/>
      <c r="T507" s="54"/>
      <c r="U507" s="54"/>
      <c r="V507" s="54"/>
      <c r="W507" s="54"/>
      <c r="X507" s="66" t="str">
        <f t="shared" si="24"/>
        <v/>
      </c>
      <c r="Y507" s="71">
        <v>95</v>
      </c>
      <c r="Z507" s="192" t="str">
        <f t="shared" si="27"/>
        <v/>
      </c>
      <c r="AA507" s="66"/>
      <c r="AB507" s="66"/>
      <c r="AC507" s="66"/>
      <c r="AD507" s="172"/>
      <c r="AE507" s="172"/>
      <c r="AF507" s="172"/>
      <c r="AG507" s="172"/>
      <c r="AH507" s="172"/>
      <c r="AI507" s="172"/>
      <c r="AJ507" s="172"/>
      <c r="AK507" s="172"/>
      <c r="AL507" s="172"/>
    </row>
    <row r="508" spans="1:38" s="45" customFormat="1">
      <c r="A508" s="53">
        <v>86</v>
      </c>
      <c r="B508" s="60" t="s">
        <v>223</v>
      </c>
      <c r="C508" s="60">
        <v>1991</v>
      </c>
      <c r="D508" s="60" t="s">
        <v>224</v>
      </c>
      <c r="E508" s="56" t="s">
        <v>20</v>
      </c>
      <c r="F508" s="69">
        <v>33093</v>
      </c>
      <c r="G508" s="54" t="s">
        <v>227</v>
      </c>
      <c r="H508" s="54" t="s">
        <v>146</v>
      </c>
      <c r="I508" s="54"/>
      <c r="J508" s="54" t="s">
        <v>1034</v>
      </c>
      <c r="K508" s="54" t="s">
        <v>1065</v>
      </c>
      <c r="L508" s="54" t="s">
        <v>228</v>
      </c>
      <c r="M508" s="54" t="s">
        <v>229</v>
      </c>
      <c r="N508" s="54"/>
      <c r="O508" s="54">
        <v>42</v>
      </c>
      <c r="P508" s="54"/>
      <c r="Q508" s="54"/>
      <c r="R508" s="54"/>
      <c r="S508" s="54"/>
      <c r="T508" s="54"/>
      <c r="U508" s="54"/>
      <c r="V508" s="54"/>
      <c r="W508" s="54"/>
      <c r="X508" s="66" t="str">
        <f t="shared" si="24"/>
        <v/>
      </c>
      <c r="Y508" s="71">
        <v>152.80000000000001</v>
      </c>
      <c r="Z508" s="192" t="str">
        <f t="shared" si="27"/>
        <v/>
      </c>
      <c r="AA508" s="66"/>
      <c r="AB508" s="66"/>
      <c r="AC508" s="66"/>
      <c r="AD508" s="172"/>
      <c r="AE508" s="172"/>
      <c r="AF508" s="172"/>
      <c r="AG508" s="172"/>
      <c r="AH508" s="172"/>
      <c r="AI508" s="172"/>
      <c r="AJ508" s="172"/>
      <c r="AK508" s="172"/>
      <c r="AL508" s="172"/>
    </row>
    <row r="509" spans="1:38" s="45" customFormat="1">
      <c r="A509" s="53">
        <v>86</v>
      </c>
      <c r="B509" s="60" t="s">
        <v>223</v>
      </c>
      <c r="C509" s="60">
        <v>1991</v>
      </c>
      <c r="D509" s="60" t="s">
        <v>224</v>
      </c>
      <c r="E509" s="56" t="s">
        <v>20</v>
      </c>
      <c r="F509" s="69">
        <v>33008</v>
      </c>
      <c r="G509" s="54" t="s">
        <v>227</v>
      </c>
      <c r="H509" s="54" t="s">
        <v>146</v>
      </c>
      <c r="I509" s="54"/>
      <c r="J509" s="54" t="s">
        <v>1034</v>
      </c>
      <c r="K509" s="54" t="s">
        <v>1065</v>
      </c>
      <c r="L509" s="54" t="s">
        <v>228</v>
      </c>
      <c r="M509" s="54" t="s">
        <v>229</v>
      </c>
      <c r="N509" s="54"/>
      <c r="O509" s="54">
        <v>28</v>
      </c>
      <c r="P509" s="54"/>
      <c r="Q509" s="54"/>
      <c r="R509" s="54"/>
      <c r="S509" s="54"/>
      <c r="T509" s="54"/>
      <c r="U509" s="54"/>
      <c r="V509" s="54"/>
      <c r="W509" s="54"/>
      <c r="X509" s="66" t="str">
        <f t="shared" si="24"/>
        <v/>
      </c>
      <c r="Y509" s="71">
        <v>164.4</v>
      </c>
      <c r="Z509" s="192" t="str">
        <f t="shared" si="27"/>
        <v/>
      </c>
      <c r="AA509" s="66"/>
      <c r="AB509" s="66"/>
      <c r="AC509" s="66"/>
      <c r="AD509" s="172"/>
      <c r="AE509" s="172"/>
      <c r="AF509" s="172"/>
      <c r="AG509" s="172"/>
      <c r="AH509" s="172"/>
      <c r="AI509" s="172"/>
      <c r="AJ509" s="172"/>
      <c r="AK509" s="172"/>
      <c r="AL509" s="172"/>
    </row>
    <row r="510" spans="1:38" s="45" customFormat="1">
      <c r="A510" s="53">
        <v>86</v>
      </c>
      <c r="B510" s="60" t="s">
        <v>223</v>
      </c>
      <c r="C510" s="60">
        <v>1991</v>
      </c>
      <c r="D510" s="60" t="s">
        <v>224</v>
      </c>
      <c r="E510" s="56" t="s">
        <v>20</v>
      </c>
      <c r="F510" s="69">
        <v>32961</v>
      </c>
      <c r="G510" s="54" t="s">
        <v>227</v>
      </c>
      <c r="H510" s="54" t="s">
        <v>146</v>
      </c>
      <c r="I510" s="54"/>
      <c r="J510" s="54" t="s">
        <v>1034</v>
      </c>
      <c r="K510" s="54" t="s">
        <v>1065</v>
      </c>
      <c r="L510" s="54" t="s">
        <v>228</v>
      </c>
      <c r="M510" s="54" t="s">
        <v>229</v>
      </c>
      <c r="N510" s="54"/>
      <c r="O510" s="54">
        <v>12</v>
      </c>
      <c r="P510" s="54"/>
      <c r="Q510" s="54"/>
      <c r="R510" s="54"/>
      <c r="S510" s="54"/>
      <c r="T510" s="54"/>
      <c r="U510" s="54"/>
      <c r="V510" s="54"/>
      <c r="W510" s="54"/>
      <c r="X510" s="66" t="str">
        <f t="shared" si="24"/>
        <v/>
      </c>
      <c r="Y510" s="71">
        <v>164.5</v>
      </c>
      <c r="Z510" s="192" t="str">
        <f t="shared" si="27"/>
        <v/>
      </c>
      <c r="AA510" s="66"/>
      <c r="AB510" s="66"/>
      <c r="AC510" s="66"/>
      <c r="AD510" s="172"/>
      <c r="AE510" s="172"/>
      <c r="AF510" s="172"/>
      <c r="AG510" s="172"/>
      <c r="AH510" s="172"/>
      <c r="AI510" s="172"/>
      <c r="AJ510" s="172"/>
      <c r="AK510" s="172"/>
      <c r="AL510" s="172"/>
    </row>
    <row r="511" spans="1:38" s="45" customFormat="1">
      <c r="A511" s="53">
        <v>86</v>
      </c>
      <c r="B511" s="60" t="s">
        <v>223</v>
      </c>
      <c r="C511" s="60">
        <v>1991</v>
      </c>
      <c r="D511" s="60" t="s">
        <v>224</v>
      </c>
      <c r="E511" s="56" t="s">
        <v>20</v>
      </c>
      <c r="F511" s="69">
        <v>33008</v>
      </c>
      <c r="G511" s="54" t="s">
        <v>227</v>
      </c>
      <c r="H511" s="54" t="s">
        <v>146</v>
      </c>
      <c r="I511" s="54"/>
      <c r="J511" s="54" t="s">
        <v>1034</v>
      </c>
      <c r="K511" s="54" t="s">
        <v>1065</v>
      </c>
      <c r="L511" s="54" t="s">
        <v>228</v>
      </c>
      <c r="M511" s="54" t="s">
        <v>229</v>
      </c>
      <c r="N511" s="54"/>
      <c r="O511" s="54">
        <v>25</v>
      </c>
      <c r="P511" s="54"/>
      <c r="Q511" s="54"/>
      <c r="R511" s="54"/>
      <c r="S511" s="54"/>
      <c r="T511" s="54"/>
      <c r="U511" s="54"/>
      <c r="V511" s="54"/>
      <c r="W511" s="54"/>
      <c r="X511" s="66" t="str">
        <f t="shared" si="24"/>
        <v/>
      </c>
      <c r="Y511" s="71">
        <v>169.3</v>
      </c>
      <c r="Z511" s="192" t="str">
        <f t="shared" si="27"/>
        <v/>
      </c>
      <c r="AA511" s="66"/>
      <c r="AB511" s="66"/>
      <c r="AC511" s="66"/>
      <c r="AD511" s="172"/>
      <c r="AE511" s="172"/>
      <c r="AF511" s="172"/>
      <c r="AG511" s="172"/>
      <c r="AH511" s="172"/>
      <c r="AI511" s="172"/>
      <c r="AJ511" s="172"/>
      <c r="AK511" s="172"/>
      <c r="AL511" s="172"/>
    </row>
    <row r="512" spans="1:38" s="45" customFormat="1">
      <c r="A512" s="53">
        <v>86</v>
      </c>
      <c r="B512" s="60" t="s">
        <v>223</v>
      </c>
      <c r="C512" s="60">
        <v>1991</v>
      </c>
      <c r="D512" s="60" t="s">
        <v>224</v>
      </c>
      <c r="E512" s="56" t="s">
        <v>20</v>
      </c>
      <c r="F512" s="69">
        <v>33009</v>
      </c>
      <c r="G512" s="54" t="s">
        <v>227</v>
      </c>
      <c r="H512" s="54" t="s">
        <v>146</v>
      </c>
      <c r="I512" s="54"/>
      <c r="J512" s="54" t="s">
        <v>1034</v>
      </c>
      <c r="K512" s="54" t="s">
        <v>1065</v>
      </c>
      <c r="L512" s="54" t="s">
        <v>228</v>
      </c>
      <c r="M512" s="54" t="s">
        <v>229</v>
      </c>
      <c r="N512" s="54"/>
      <c r="O512" s="54">
        <v>31</v>
      </c>
      <c r="P512" s="54"/>
      <c r="Q512" s="54"/>
      <c r="R512" s="54"/>
      <c r="S512" s="54"/>
      <c r="T512" s="54"/>
      <c r="U512" s="54"/>
      <c r="V512" s="54"/>
      <c r="W512" s="54"/>
      <c r="X512" s="66" t="str">
        <f t="shared" si="24"/>
        <v/>
      </c>
      <c r="Y512" s="71">
        <v>176.3</v>
      </c>
      <c r="Z512" s="192" t="str">
        <f t="shared" si="27"/>
        <v/>
      </c>
      <c r="AA512" s="66"/>
      <c r="AB512" s="66"/>
      <c r="AC512" s="66"/>
      <c r="AD512" s="172"/>
      <c r="AE512" s="172"/>
      <c r="AF512" s="172"/>
      <c r="AG512" s="172"/>
      <c r="AH512" s="172"/>
      <c r="AI512" s="172"/>
      <c r="AJ512" s="172"/>
      <c r="AK512" s="172"/>
      <c r="AL512" s="172"/>
    </row>
    <row r="513" spans="1:38" s="45" customFormat="1">
      <c r="A513" s="53">
        <v>86</v>
      </c>
      <c r="B513" s="60" t="s">
        <v>223</v>
      </c>
      <c r="C513" s="60">
        <v>1991</v>
      </c>
      <c r="D513" s="60" t="s">
        <v>224</v>
      </c>
      <c r="E513" s="56" t="s">
        <v>20</v>
      </c>
      <c r="F513" s="69">
        <v>33093</v>
      </c>
      <c r="G513" s="54" t="s">
        <v>227</v>
      </c>
      <c r="H513" s="54" t="s">
        <v>146</v>
      </c>
      <c r="I513" s="54"/>
      <c r="J513" s="54" t="s">
        <v>1034</v>
      </c>
      <c r="K513" s="54" t="s">
        <v>1065</v>
      </c>
      <c r="L513" s="54" t="s">
        <v>228</v>
      </c>
      <c r="M513" s="54" t="s">
        <v>229</v>
      </c>
      <c r="N513" s="54"/>
      <c r="O513" s="54">
        <v>40</v>
      </c>
      <c r="P513" s="54"/>
      <c r="Q513" s="54"/>
      <c r="R513" s="54"/>
      <c r="S513" s="54"/>
      <c r="T513" s="54"/>
      <c r="U513" s="54"/>
      <c r="V513" s="54"/>
      <c r="W513" s="54"/>
      <c r="X513" s="66" t="str">
        <f t="shared" si="24"/>
        <v/>
      </c>
      <c r="Y513" s="71">
        <v>190.8</v>
      </c>
      <c r="Z513" s="192" t="str">
        <f t="shared" si="27"/>
        <v/>
      </c>
      <c r="AA513" s="66"/>
      <c r="AB513" s="66"/>
      <c r="AC513" s="66"/>
      <c r="AD513" s="172"/>
      <c r="AE513" s="172"/>
      <c r="AF513" s="172"/>
      <c r="AG513" s="172"/>
      <c r="AH513" s="172"/>
      <c r="AI513" s="172"/>
      <c r="AJ513" s="172"/>
      <c r="AK513" s="172"/>
      <c r="AL513" s="172"/>
    </row>
    <row r="514" spans="1:38" s="45" customFormat="1">
      <c r="A514" s="53">
        <v>86</v>
      </c>
      <c r="B514" s="60" t="s">
        <v>223</v>
      </c>
      <c r="C514" s="60">
        <v>1991</v>
      </c>
      <c r="D514" s="60" t="s">
        <v>224</v>
      </c>
      <c r="E514" s="56" t="s">
        <v>20</v>
      </c>
      <c r="F514" s="69">
        <v>32961</v>
      </c>
      <c r="G514" s="54" t="s">
        <v>227</v>
      </c>
      <c r="H514" s="54" t="s">
        <v>146</v>
      </c>
      <c r="I514" s="54"/>
      <c r="J514" s="54" t="s">
        <v>1034</v>
      </c>
      <c r="K514" s="54" t="s">
        <v>1065</v>
      </c>
      <c r="L514" s="54" t="s">
        <v>228</v>
      </c>
      <c r="M514" s="54" t="s">
        <v>229</v>
      </c>
      <c r="N514" s="54"/>
      <c r="O514" s="54">
        <v>14</v>
      </c>
      <c r="P514" s="54"/>
      <c r="Q514" s="54"/>
      <c r="R514" s="54"/>
      <c r="S514" s="54"/>
      <c r="T514" s="54"/>
      <c r="U514" s="54"/>
      <c r="V514" s="54"/>
      <c r="W514" s="54"/>
      <c r="X514" s="66" t="str">
        <f t="shared" si="24"/>
        <v/>
      </c>
      <c r="Y514" s="71">
        <v>195.3</v>
      </c>
      <c r="Z514" s="192" t="str">
        <f t="shared" si="27"/>
        <v/>
      </c>
      <c r="AA514" s="66"/>
      <c r="AB514" s="66"/>
      <c r="AC514" s="66"/>
      <c r="AD514" s="172"/>
      <c r="AE514" s="172"/>
      <c r="AF514" s="172"/>
      <c r="AG514" s="172"/>
      <c r="AH514" s="172"/>
      <c r="AI514" s="172"/>
      <c r="AJ514" s="172"/>
      <c r="AK514" s="172"/>
      <c r="AL514" s="172"/>
    </row>
    <row r="515" spans="1:38" s="45" customFormat="1">
      <c r="A515" s="53">
        <v>86</v>
      </c>
      <c r="B515" s="60" t="s">
        <v>223</v>
      </c>
      <c r="C515" s="60">
        <v>1991</v>
      </c>
      <c r="D515" s="60" t="s">
        <v>224</v>
      </c>
      <c r="E515" s="56" t="s">
        <v>20</v>
      </c>
      <c r="F515" s="69">
        <v>32961</v>
      </c>
      <c r="G515" s="54" t="s">
        <v>227</v>
      </c>
      <c r="H515" s="54" t="s">
        <v>146</v>
      </c>
      <c r="I515" s="54"/>
      <c r="J515" s="54" t="s">
        <v>1034</v>
      </c>
      <c r="K515" s="54" t="s">
        <v>1065</v>
      </c>
      <c r="L515" s="54" t="s">
        <v>228</v>
      </c>
      <c r="M515" s="54" t="s">
        <v>229</v>
      </c>
      <c r="N515" s="54"/>
      <c r="O515" s="54">
        <v>18</v>
      </c>
      <c r="P515" s="54"/>
      <c r="Q515" s="54"/>
      <c r="R515" s="54"/>
      <c r="S515" s="54"/>
      <c r="T515" s="54"/>
      <c r="U515" s="54"/>
      <c r="V515" s="54"/>
      <c r="W515" s="54"/>
      <c r="X515" s="66" t="str">
        <f t="shared" si="24"/>
        <v/>
      </c>
      <c r="Y515" s="71">
        <v>209.5</v>
      </c>
      <c r="Z515" s="192" t="str">
        <f t="shared" si="27"/>
        <v/>
      </c>
      <c r="AA515" s="66"/>
      <c r="AB515" s="66"/>
      <c r="AC515" s="66"/>
      <c r="AD515" s="172"/>
      <c r="AE515" s="172"/>
      <c r="AF515" s="172"/>
      <c r="AG515" s="172"/>
      <c r="AH515" s="172"/>
      <c r="AI515" s="172"/>
      <c r="AJ515" s="172"/>
      <c r="AK515" s="172"/>
      <c r="AL515" s="172"/>
    </row>
    <row r="516" spans="1:38" s="45" customFormat="1">
      <c r="A516" s="53">
        <v>86</v>
      </c>
      <c r="B516" s="60" t="s">
        <v>223</v>
      </c>
      <c r="C516" s="60">
        <v>1991</v>
      </c>
      <c r="D516" s="60" t="s">
        <v>224</v>
      </c>
      <c r="E516" s="56" t="s">
        <v>20</v>
      </c>
      <c r="F516" s="69">
        <v>33093</v>
      </c>
      <c r="G516" s="54" t="s">
        <v>227</v>
      </c>
      <c r="H516" s="54" t="s">
        <v>146</v>
      </c>
      <c r="I516" s="54"/>
      <c r="J516" s="54" t="s">
        <v>1034</v>
      </c>
      <c r="K516" s="54" t="s">
        <v>1065</v>
      </c>
      <c r="L516" s="54" t="s">
        <v>228</v>
      </c>
      <c r="M516" s="54" t="s">
        <v>229</v>
      </c>
      <c r="N516" s="54"/>
      <c r="O516" s="54">
        <v>37</v>
      </c>
      <c r="P516" s="54"/>
      <c r="Q516" s="54"/>
      <c r="R516" s="54"/>
      <c r="S516" s="54"/>
      <c r="T516" s="54"/>
      <c r="U516" s="54"/>
      <c r="V516" s="54"/>
      <c r="W516" s="54"/>
      <c r="X516" s="66" t="str">
        <f t="shared" si="24"/>
        <v/>
      </c>
      <c r="Y516" s="71">
        <v>257.39999999999998</v>
      </c>
      <c r="Z516" s="192" t="str">
        <f t="shared" si="27"/>
        <v/>
      </c>
      <c r="AA516" s="66"/>
      <c r="AB516" s="66"/>
      <c r="AC516" s="66"/>
      <c r="AD516" s="172"/>
      <c r="AE516" s="172"/>
      <c r="AF516" s="172"/>
      <c r="AG516" s="172"/>
      <c r="AH516" s="172"/>
      <c r="AI516" s="172"/>
      <c r="AJ516" s="172"/>
      <c r="AK516" s="172"/>
      <c r="AL516" s="172"/>
    </row>
    <row r="517" spans="1:38" s="45" customFormat="1">
      <c r="A517" s="53">
        <v>63</v>
      </c>
      <c r="B517" s="60" t="s">
        <v>168</v>
      </c>
      <c r="C517" s="60">
        <v>1989</v>
      </c>
      <c r="D517" s="60" t="s">
        <v>169</v>
      </c>
      <c r="E517" s="56" t="s">
        <v>172</v>
      </c>
      <c r="F517" s="69">
        <v>31950</v>
      </c>
      <c r="G517" s="54" t="s">
        <v>173</v>
      </c>
      <c r="H517" s="54" t="s">
        <v>146</v>
      </c>
      <c r="I517" s="66"/>
      <c r="J517" s="66" t="s">
        <v>1034</v>
      </c>
      <c r="K517" s="54" t="s">
        <v>1035</v>
      </c>
      <c r="L517" s="54" t="s">
        <v>174</v>
      </c>
      <c r="M517" s="54"/>
      <c r="N517" s="54"/>
      <c r="O517" s="54" t="s">
        <v>150</v>
      </c>
      <c r="P517" s="54"/>
      <c r="Q517" s="54"/>
      <c r="R517" s="54"/>
      <c r="S517" s="54"/>
      <c r="T517" s="54"/>
      <c r="U517" s="54"/>
      <c r="V517" s="54"/>
      <c r="W517" s="54"/>
      <c r="X517" s="66" t="str">
        <f t="shared" ref="X517:X553" si="28">IF(R517&lt;&gt;0,IF(R517&gt;1,R517/100,R517),IF(U517&lt;&gt;0,IF(U517&gt;1,U517/100,U517),""))</f>
        <v/>
      </c>
      <c r="Y517" s="71">
        <v>75</v>
      </c>
      <c r="Z517" s="192" t="str">
        <f t="shared" si="27"/>
        <v/>
      </c>
      <c r="AA517" s="66"/>
      <c r="AB517" s="66"/>
      <c r="AC517" s="66"/>
      <c r="AD517" s="172"/>
      <c r="AE517" s="172"/>
      <c r="AF517" s="172"/>
      <c r="AG517" s="172"/>
      <c r="AH517" s="172"/>
      <c r="AI517" s="172"/>
      <c r="AJ517" s="172"/>
      <c r="AK517" s="172"/>
      <c r="AL517" s="172"/>
    </row>
    <row r="518" spans="1:38" s="45" customFormat="1">
      <c r="A518" s="53">
        <v>86</v>
      </c>
      <c r="B518" s="60" t="s">
        <v>223</v>
      </c>
      <c r="C518" s="60">
        <v>1991</v>
      </c>
      <c r="D518" s="60" t="s">
        <v>224</v>
      </c>
      <c r="E518" s="56" t="s">
        <v>20</v>
      </c>
      <c r="F518" s="69">
        <v>32857</v>
      </c>
      <c r="G518" s="54" t="s">
        <v>227</v>
      </c>
      <c r="H518" s="54" t="s">
        <v>146</v>
      </c>
      <c r="I518" s="54"/>
      <c r="J518" s="54" t="s">
        <v>1034</v>
      </c>
      <c r="K518" s="54" t="s">
        <v>1035</v>
      </c>
      <c r="L518" s="54" t="s">
        <v>232</v>
      </c>
      <c r="M518" s="54" t="s">
        <v>233</v>
      </c>
      <c r="N518" s="54"/>
      <c r="O518" s="54">
        <v>5</v>
      </c>
      <c r="P518" s="54"/>
      <c r="Q518" s="54"/>
      <c r="R518" s="54"/>
      <c r="S518" s="54"/>
      <c r="T518" s="54"/>
      <c r="U518" s="54"/>
      <c r="V518" s="54"/>
      <c r="W518" s="54"/>
      <c r="X518" s="66" t="str">
        <f t="shared" si="28"/>
        <v/>
      </c>
      <c r="Y518" s="71">
        <v>61</v>
      </c>
      <c r="Z518" s="192" t="str">
        <f t="shared" si="27"/>
        <v/>
      </c>
      <c r="AA518" s="66"/>
      <c r="AB518" s="66"/>
      <c r="AC518" s="66"/>
      <c r="AD518" s="172"/>
      <c r="AE518" s="172"/>
      <c r="AF518" s="172"/>
      <c r="AG518" s="172"/>
      <c r="AH518" s="172"/>
      <c r="AI518" s="172"/>
      <c r="AJ518" s="172"/>
      <c r="AK518" s="172"/>
      <c r="AL518" s="172"/>
    </row>
    <row r="519" spans="1:38" s="45" customFormat="1">
      <c r="A519" s="53">
        <v>86</v>
      </c>
      <c r="B519" s="60" t="s">
        <v>223</v>
      </c>
      <c r="C519" s="60">
        <v>1991</v>
      </c>
      <c r="D519" s="60" t="s">
        <v>224</v>
      </c>
      <c r="E519" s="56" t="s">
        <v>20</v>
      </c>
      <c r="F519" s="69">
        <v>32857</v>
      </c>
      <c r="G519" s="54" t="s">
        <v>227</v>
      </c>
      <c r="H519" s="54" t="s">
        <v>146</v>
      </c>
      <c r="I519" s="54"/>
      <c r="J519" s="54" t="s">
        <v>1034</v>
      </c>
      <c r="K519" s="54" t="s">
        <v>1035</v>
      </c>
      <c r="L519" s="54" t="s">
        <v>232</v>
      </c>
      <c r="M519" s="54" t="s">
        <v>233</v>
      </c>
      <c r="N519" s="54"/>
      <c r="O519" s="54">
        <v>9</v>
      </c>
      <c r="P519" s="54"/>
      <c r="Q519" s="54"/>
      <c r="R519" s="54"/>
      <c r="S519" s="54"/>
      <c r="T519" s="54"/>
      <c r="U519" s="54"/>
      <c r="V519" s="54"/>
      <c r="W519" s="54"/>
      <c r="X519" s="66" t="str">
        <f t="shared" si="28"/>
        <v/>
      </c>
      <c r="Y519" s="71">
        <v>67</v>
      </c>
      <c r="Z519" s="192" t="str">
        <f t="shared" si="27"/>
        <v/>
      </c>
      <c r="AA519" s="66"/>
      <c r="AB519" s="66"/>
      <c r="AC519" s="66"/>
      <c r="AD519" s="172"/>
      <c r="AE519" s="172"/>
      <c r="AF519" s="172"/>
      <c r="AG519" s="172"/>
      <c r="AH519" s="172"/>
      <c r="AI519" s="172"/>
      <c r="AJ519" s="172"/>
      <c r="AK519" s="172"/>
      <c r="AL519" s="172"/>
    </row>
    <row r="520" spans="1:38" s="45" customFormat="1">
      <c r="A520" s="53">
        <v>86</v>
      </c>
      <c r="B520" s="60" t="s">
        <v>223</v>
      </c>
      <c r="C520" s="60">
        <v>1991</v>
      </c>
      <c r="D520" s="60" t="s">
        <v>224</v>
      </c>
      <c r="E520" s="56" t="s">
        <v>20</v>
      </c>
      <c r="F520" s="69">
        <v>32857</v>
      </c>
      <c r="G520" s="54" t="s">
        <v>227</v>
      </c>
      <c r="H520" s="54" t="s">
        <v>146</v>
      </c>
      <c r="I520" s="54"/>
      <c r="J520" s="54" t="s">
        <v>1034</v>
      </c>
      <c r="K520" s="54" t="s">
        <v>1035</v>
      </c>
      <c r="L520" s="54" t="s">
        <v>232</v>
      </c>
      <c r="M520" s="54" t="s">
        <v>233</v>
      </c>
      <c r="N520" s="54"/>
      <c r="O520" s="54">
        <v>3</v>
      </c>
      <c r="P520" s="54"/>
      <c r="Q520" s="54"/>
      <c r="R520" s="54"/>
      <c r="S520" s="54"/>
      <c r="T520" s="54"/>
      <c r="U520" s="54"/>
      <c r="V520" s="54"/>
      <c r="W520" s="54"/>
      <c r="X520" s="66" t="str">
        <f t="shared" si="28"/>
        <v/>
      </c>
      <c r="Y520" s="71">
        <v>87</v>
      </c>
      <c r="Z520" s="192" t="str">
        <f t="shared" si="27"/>
        <v/>
      </c>
      <c r="AA520" s="66"/>
      <c r="AB520" s="66"/>
      <c r="AC520" s="66"/>
      <c r="AD520" s="172"/>
      <c r="AE520" s="172"/>
      <c r="AF520" s="172"/>
      <c r="AG520" s="172"/>
      <c r="AH520" s="172"/>
      <c r="AI520" s="172"/>
      <c r="AJ520" s="172"/>
      <c r="AK520" s="172"/>
      <c r="AL520" s="172"/>
    </row>
    <row r="521" spans="1:38" s="45" customFormat="1">
      <c r="A521" s="53">
        <v>86</v>
      </c>
      <c r="B521" s="60" t="s">
        <v>223</v>
      </c>
      <c r="C521" s="60">
        <v>1991</v>
      </c>
      <c r="D521" s="60" t="s">
        <v>224</v>
      </c>
      <c r="E521" s="56" t="s">
        <v>20</v>
      </c>
      <c r="F521" s="69">
        <v>32961</v>
      </c>
      <c r="G521" s="54" t="s">
        <v>227</v>
      </c>
      <c r="H521" s="54" t="s">
        <v>146</v>
      </c>
      <c r="I521" s="54"/>
      <c r="J521" s="54" t="s">
        <v>1034</v>
      </c>
      <c r="K521" s="54" t="s">
        <v>1035</v>
      </c>
      <c r="L521" s="54" t="s">
        <v>232</v>
      </c>
      <c r="M521" s="54" t="s">
        <v>233</v>
      </c>
      <c r="N521" s="54"/>
      <c r="O521" s="54">
        <v>10</v>
      </c>
      <c r="P521" s="54"/>
      <c r="Q521" s="54"/>
      <c r="R521" s="54"/>
      <c r="S521" s="54"/>
      <c r="T521" s="54"/>
      <c r="U521" s="54"/>
      <c r="V521" s="54"/>
      <c r="W521" s="54"/>
      <c r="X521" s="66" t="str">
        <f t="shared" si="28"/>
        <v/>
      </c>
      <c r="Y521" s="71">
        <v>88.2</v>
      </c>
      <c r="Z521" s="192" t="str">
        <f t="shared" si="27"/>
        <v/>
      </c>
      <c r="AA521" s="66"/>
      <c r="AB521" s="66"/>
      <c r="AC521" s="66"/>
      <c r="AD521" s="172"/>
      <c r="AE521" s="172"/>
      <c r="AF521" s="172"/>
      <c r="AG521" s="172"/>
      <c r="AH521" s="172"/>
      <c r="AI521" s="172"/>
      <c r="AJ521" s="172"/>
      <c r="AK521" s="172"/>
      <c r="AL521" s="172"/>
    </row>
    <row r="522" spans="1:38" s="45" customFormat="1">
      <c r="A522" s="53">
        <v>86</v>
      </c>
      <c r="B522" s="60" t="s">
        <v>223</v>
      </c>
      <c r="C522" s="60">
        <v>1991</v>
      </c>
      <c r="D522" s="60" t="s">
        <v>224</v>
      </c>
      <c r="E522" s="56" t="s">
        <v>20</v>
      </c>
      <c r="F522" s="69">
        <v>33009</v>
      </c>
      <c r="G522" s="54" t="s">
        <v>227</v>
      </c>
      <c r="H522" s="54" t="s">
        <v>146</v>
      </c>
      <c r="I522" s="54"/>
      <c r="J522" s="54" t="s">
        <v>1034</v>
      </c>
      <c r="K522" s="54" t="s">
        <v>1035</v>
      </c>
      <c r="L522" s="54" t="s">
        <v>232</v>
      </c>
      <c r="M522" s="54" t="s">
        <v>233</v>
      </c>
      <c r="N522" s="54"/>
      <c r="O522" s="54">
        <v>30</v>
      </c>
      <c r="P522" s="54"/>
      <c r="Q522" s="54"/>
      <c r="R522" s="54"/>
      <c r="S522" s="54"/>
      <c r="T522" s="54"/>
      <c r="U522" s="54"/>
      <c r="V522" s="54"/>
      <c r="W522" s="54"/>
      <c r="X522" s="66" t="str">
        <f t="shared" si="28"/>
        <v/>
      </c>
      <c r="Y522" s="71">
        <v>89.8</v>
      </c>
      <c r="Z522" s="192" t="str">
        <f t="shared" si="27"/>
        <v/>
      </c>
      <c r="AA522" s="66"/>
      <c r="AB522" s="66"/>
      <c r="AC522" s="66"/>
      <c r="AD522" s="172"/>
      <c r="AE522" s="172"/>
      <c r="AF522" s="172"/>
      <c r="AG522" s="172"/>
      <c r="AH522" s="172"/>
      <c r="AI522" s="172"/>
      <c r="AJ522" s="172"/>
      <c r="AK522" s="172"/>
      <c r="AL522" s="172"/>
    </row>
    <row r="523" spans="1:38" s="45" customFormat="1">
      <c r="A523" s="53">
        <v>86</v>
      </c>
      <c r="B523" s="60" t="s">
        <v>223</v>
      </c>
      <c r="C523" s="60">
        <v>1991</v>
      </c>
      <c r="D523" s="60" t="s">
        <v>224</v>
      </c>
      <c r="E523" s="56" t="s">
        <v>20</v>
      </c>
      <c r="F523" s="69">
        <v>33093</v>
      </c>
      <c r="G523" s="54" t="s">
        <v>227</v>
      </c>
      <c r="H523" s="54" t="s">
        <v>146</v>
      </c>
      <c r="I523" s="54"/>
      <c r="J523" s="54" t="s">
        <v>1034</v>
      </c>
      <c r="K523" s="54" t="s">
        <v>1035</v>
      </c>
      <c r="L523" s="54" t="s">
        <v>232</v>
      </c>
      <c r="M523" s="54" t="s">
        <v>233</v>
      </c>
      <c r="N523" s="54"/>
      <c r="O523" s="54">
        <v>38</v>
      </c>
      <c r="P523" s="54"/>
      <c r="Q523" s="54"/>
      <c r="R523" s="54"/>
      <c r="S523" s="54"/>
      <c r="T523" s="54"/>
      <c r="U523" s="54"/>
      <c r="V523" s="54"/>
      <c r="W523" s="54"/>
      <c r="X523" s="66" t="str">
        <f t="shared" si="28"/>
        <v/>
      </c>
      <c r="Y523" s="71">
        <v>91.6</v>
      </c>
      <c r="Z523" s="192" t="str">
        <f t="shared" si="27"/>
        <v/>
      </c>
      <c r="AA523" s="66"/>
      <c r="AB523" s="66"/>
      <c r="AC523" s="66"/>
      <c r="AD523" s="172"/>
      <c r="AE523" s="172"/>
      <c r="AF523" s="172"/>
      <c r="AG523" s="172"/>
      <c r="AH523" s="172"/>
      <c r="AI523" s="172"/>
      <c r="AJ523" s="172"/>
      <c r="AK523" s="172"/>
      <c r="AL523" s="172"/>
    </row>
    <row r="524" spans="1:38" s="45" customFormat="1">
      <c r="A524" s="53">
        <v>86</v>
      </c>
      <c r="B524" s="60" t="s">
        <v>223</v>
      </c>
      <c r="C524" s="60">
        <v>1991</v>
      </c>
      <c r="D524" s="60" t="s">
        <v>224</v>
      </c>
      <c r="E524" s="56" t="s">
        <v>20</v>
      </c>
      <c r="F524" s="69">
        <v>32961</v>
      </c>
      <c r="G524" s="54" t="s">
        <v>227</v>
      </c>
      <c r="H524" s="54" t="s">
        <v>146</v>
      </c>
      <c r="I524" s="54"/>
      <c r="J524" s="54" t="s">
        <v>1034</v>
      </c>
      <c r="K524" s="54" t="s">
        <v>1035</v>
      </c>
      <c r="L524" s="54" t="s">
        <v>232</v>
      </c>
      <c r="M524" s="54" t="s">
        <v>233</v>
      </c>
      <c r="N524" s="54"/>
      <c r="O524" s="54">
        <v>16</v>
      </c>
      <c r="P524" s="54"/>
      <c r="Q524" s="54"/>
      <c r="R524" s="54"/>
      <c r="S524" s="54"/>
      <c r="T524" s="54"/>
      <c r="U524" s="54"/>
      <c r="V524" s="54"/>
      <c r="W524" s="54"/>
      <c r="X524" s="66" t="str">
        <f t="shared" si="28"/>
        <v/>
      </c>
      <c r="Y524" s="71">
        <v>96.3</v>
      </c>
      <c r="Z524" s="192" t="str">
        <f t="shared" si="27"/>
        <v/>
      </c>
      <c r="AA524" s="66"/>
      <c r="AB524" s="66"/>
      <c r="AC524" s="66"/>
      <c r="AD524" s="172"/>
      <c r="AE524" s="172"/>
      <c r="AF524" s="172"/>
      <c r="AG524" s="172"/>
      <c r="AH524" s="172"/>
      <c r="AI524" s="172"/>
      <c r="AJ524" s="172"/>
      <c r="AK524" s="172"/>
      <c r="AL524" s="172"/>
    </row>
    <row r="525" spans="1:38" s="45" customFormat="1">
      <c r="A525" s="53">
        <v>86</v>
      </c>
      <c r="B525" s="60" t="s">
        <v>223</v>
      </c>
      <c r="C525" s="60">
        <v>1991</v>
      </c>
      <c r="D525" s="60" t="s">
        <v>224</v>
      </c>
      <c r="E525" s="56" t="s">
        <v>20</v>
      </c>
      <c r="F525" s="69">
        <v>33009</v>
      </c>
      <c r="G525" s="54" t="s">
        <v>227</v>
      </c>
      <c r="H525" s="54" t="s">
        <v>146</v>
      </c>
      <c r="I525" s="54"/>
      <c r="J525" s="54" t="s">
        <v>1034</v>
      </c>
      <c r="K525" s="54" t="s">
        <v>1035</v>
      </c>
      <c r="L525" s="54" t="s">
        <v>232</v>
      </c>
      <c r="M525" s="54" t="s">
        <v>233</v>
      </c>
      <c r="N525" s="54"/>
      <c r="O525" s="54">
        <v>33</v>
      </c>
      <c r="P525" s="54"/>
      <c r="Q525" s="54"/>
      <c r="R525" s="54"/>
      <c r="S525" s="54"/>
      <c r="T525" s="54"/>
      <c r="U525" s="54"/>
      <c r="V525" s="54"/>
      <c r="W525" s="54"/>
      <c r="X525" s="66" t="str">
        <f t="shared" si="28"/>
        <v/>
      </c>
      <c r="Y525" s="71">
        <v>106.5</v>
      </c>
      <c r="Z525" s="192" t="str">
        <f t="shared" si="27"/>
        <v/>
      </c>
      <c r="AA525" s="66"/>
      <c r="AB525" s="66"/>
      <c r="AC525" s="66"/>
      <c r="AD525" s="172"/>
      <c r="AE525" s="172"/>
      <c r="AF525" s="172"/>
      <c r="AG525" s="172"/>
      <c r="AH525" s="172"/>
      <c r="AI525" s="172"/>
      <c r="AJ525" s="172"/>
      <c r="AK525" s="172"/>
      <c r="AL525" s="172"/>
    </row>
    <row r="526" spans="1:38" s="45" customFormat="1">
      <c r="A526" s="53">
        <v>86</v>
      </c>
      <c r="B526" s="60" t="s">
        <v>223</v>
      </c>
      <c r="C526" s="60">
        <v>1991</v>
      </c>
      <c r="D526" s="60" t="s">
        <v>224</v>
      </c>
      <c r="E526" s="56" t="s">
        <v>20</v>
      </c>
      <c r="F526" s="69">
        <v>33008</v>
      </c>
      <c r="G526" s="54" t="s">
        <v>227</v>
      </c>
      <c r="H526" s="54" t="s">
        <v>146</v>
      </c>
      <c r="I526" s="54"/>
      <c r="J526" s="54" t="s">
        <v>1034</v>
      </c>
      <c r="K526" s="54" t="s">
        <v>1035</v>
      </c>
      <c r="L526" s="54" t="s">
        <v>232</v>
      </c>
      <c r="M526" s="54" t="s">
        <v>233</v>
      </c>
      <c r="N526" s="54"/>
      <c r="O526" s="54">
        <v>22</v>
      </c>
      <c r="P526" s="54"/>
      <c r="Q526" s="54"/>
      <c r="R526" s="54"/>
      <c r="S526" s="54"/>
      <c r="T526" s="54"/>
      <c r="U526" s="54"/>
      <c r="V526" s="54"/>
      <c r="W526" s="54"/>
      <c r="X526" s="66" t="str">
        <f t="shared" si="28"/>
        <v/>
      </c>
      <c r="Y526" s="71">
        <v>117.4</v>
      </c>
      <c r="Z526" s="192" t="str">
        <f t="shared" si="27"/>
        <v/>
      </c>
      <c r="AA526" s="66"/>
      <c r="AB526" s="66"/>
      <c r="AC526" s="66"/>
      <c r="AD526" s="172"/>
      <c r="AE526" s="172"/>
      <c r="AF526" s="172"/>
      <c r="AG526" s="172"/>
      <c r="AH526" s="172"/>
      <c r="AI526" s="172"/>
      <c r="AJ526" s="172"/>
      <c r="AK526" s="172"/>
      <c r="AL526" s="172"/>
    </row>
    <row r="527" spans="1:38" s="45" customFormat="1">
      <c r="A527" s="53">
        <v>86</v>
      </c>
      <c r="B527" s="60" t="s">
        <v>223</v>
      </c>
      <c r="C527" s="60">
        <v>1991</v>
      </c>
      <c r="D527" s="60" t="s">
        <v>224</v>
      </c>
      <c r="E527" s="56" t="s">
        <v>20</v>
      </c>
      <c r="F527" s="69">
        <v>33093</v>
      </c>
      <c r="G527" s="54" t="s">
        <v>227</v>
      </c>
      <c r="H527" s="54" t="s">
        <v>146</v>
      </c>
      <c r="I527" s="54"/>
      <c r="J527" s="54" t="s">
        <v>1034</v>
      </c>
      <c r="K527" s="54" t="s">
        <v>1035</v>
      </c>
      <c r="L527" s="54" t="s">
        <v>232</v>
      </c>
      <c r="M527" s="54" t="s">
        <v>233</v>
      </c>
      <c r="N527" s="54"/>
      <c r="O527" s="54">
        <v>36</v>
      </c>
      <c r="P527" s="54"/>
      <c r="Q527" s="54"/>
      <c r="R527" s="54"/>
      <c r="S527" s="54"/>
      <c r="T527" s="54"/>
      <c r="U527" s="54"/>
      <c r="V527" s="54"/>
      <c r="W527" s="54"/>
      <c r="X527" s="66" t="str">
        <f t="shared" si="28"/>
        <v/>
      </c>
      <c r="Y527" s="71">
        <v>167.4</v>
      </c>
      <c r="Z527" s="192" t="str">
        <f t="shared" si="27"/>
        <v/>
      </c>
      <c r="AA527" s="66"/>
      <c r="AB527" s="66"/>
      <c r="AC527" s="66"/>
      <c r="AD527" s="172"/>
      <c r="AE527" s="172"/>
      <c r="AF527" s="172"/>
      <c r="AG527" s="172"/>
      <c r="AH527" s="172"/>
      <c r="AI527" s="172"/>
      <c r="AJ527" s="172"/>
      <c r="AK527" s="172"/>
      <c r="AL527" s="172"/>
    </row>
    <row r="528" spans="1:38" s="45" customFormat="1">
      <c r="A528" s="53">
        <v>86</v>
      </c>
      <c r="B528" s="60" t="s">
        <v>223</v>
      </c>
      <c r="C528" s="60">
        <v>1991</v>
      </c>
      <c r="D528" s="60" t="s">
        <v>224</v>
      </c>
      <c r="E528" s="56" t="s">
        <v>20</v>
      </c>
      <c r="F528" s="69">
        <v>33093</v>
      </c>
      <c r="G528" s="54" t="s">
        <v>227</v>
      </c>
      <c r="H528" s="54" t="s">
        <v>146</v>
      </c>
      <c r="I528" s="54"/>
      <c r="J528" s="54" t="s">
        <v>1034</v>
      </c>
      <c r="K528" s="54" t="s">
        <v>1035</v>
      </c>
      <c r="L528" s="54" t="s">
        <v>232</v>
      </c>
      <c r="M528" s="54" t="s">
        <v>233</v>
      </c>
      <c r="N528" s="54"/>
      <c r="O528" s="54">
        <v>45</v>
      </c>
      <c r="P528" s="54"/>
      <c r="Q528" s="54"/>
      <c r="R528" s="54"/>
      <c r="S528" s="54"/>
      <c r="T528" s="54"/>
      <c r="U528" s="54"/>
      <c r="V528" s="54"/>
      <c r="W528" s="54"/>
      <c r="X528" s="66" t="str">
        <f t="shared" si="28"/>
        <v/>
      </c>
      <c r="Y528" s="71">
        <v>181.1</v>
      </c>
      <c r="Z528" s="192" t="str">
        <f t="shared" si="27"/>
        <v/>
      </c>
      <c r="AA528" s="66"/>
      <c r="AB528" s="66"/>
      <c r="AC528" s="66"/>
      <c r="AD528" s="172"/>
      <c r="AE528" s="172"/>
      <c r="AF528" s="172"/>
      <c r="AG528" s="172"/>
      <c r="AH528" s="172"/>
      <c r="AI528" s="172"/>
      <c r="AJ528" s="172"/>
      <c r="AK528" s="172"/>
      <c r="AL528" s="172"/>
    </row>
    <row r="529" spans="1:38" s="45" customFormat="1">
      <c r="A529" s="53">
        <v>86</v>
      </c>
      <c r="B529" s="60" t="s">
        <v>223</v>
      </c>
      <c r="C529" s="60">
        <v>1991</v>
      </c>
      <c r="D529" s="60" t="s">
        <v>224</v>
      </c>
      <c r="E529" s="56" t="s">
        <v>20</v>
      </c>
      <c r="F529" s="69">
        <v>32961</v>
      </c>
      <c r="G529" s="54" t="s">
        <v>227</v>
      </c>
      <c r="H529" s="54" t="s">
        <v>146</v>
      </c>
      <c r="I529" s="54"/>
      <c r="J529" s="54" t="s">
        <v>1034</v>
      </c>
      <c r="K529" s="54" t="s">
        <v>1040</v>
      </c>
      <c r="L529" s="54" t="s">
        <v>230</v>
      </c>
      <c r="M529" s="54" t="s">
        <v>231</v>
      </c>
      <c r="N529" s="54"/>
      <c r="O529" s="54">
        <v>20</v>
      </c>
      <c r="P529" s="54"/>
      <c r="Q529" s="54"/>
      <c r="R529" s="54"/>
      <c r="S529" s="54"/>
      <c r="T529" s="54"/>
      <c r="U529" s="54"/>
      <c r="V529" s="54"/>
      <c r="W529" s="54"/>
      <c r="X529" s="66" t="str">
        <f t="shared" si="28"/>
        <v/>
      </c>
      <c r="Y529" s="71">
        <v>61.9</v>
      </c>
      <c r="Z529" s="192" t="str">
        <f t="shared" si="27"/>
        <v/>
      </c>
      <c r="AA529" s="66"/>
      <c r="AB529" s="66"/>
      <c r="AC529" s="66"/>
      <c r="AD529" s="172"/>
      <c r="AE529" s="172"/>
      <c r="AF529" s="172"/>
      <c r="AG529" s="172"/>
      <c r="AH529" s="172"/>
      <c r="AI529" s="172"/>
      <c r="AJ529" s="172"/>
      <c r="AK529" s="172"/>
      <c r="AL529" s="172"/>
    </row>
    <row r="530" spans="1:38" s="45" customFormat="1">
      <c r="A530" s="53">
        <v>86</v>
      </c>
      <c r="B530" s="60" t="s">
        <v>223</v>
      </c>
      <c r="C530" s="60">
        <v>1991</v>
      </c>
      <c r="D530" s="60" t="s">
        <v>224</v>
      </c>
      <c r="E530" s="56" t="s">
        <v>20</v>
      </c>
      <c r="F530" s="69">
        <v>32961</v>
      </c>
      <c r="G530" s="54" t="s">
        <v>227</v>
      </c>
      <c r="H530" s="54" t="s">
        <v>146</v>
      </c>
      <c r="I530" s="54"/>
      <c r="J530" s="54" t="s">
        <v>1034</v>
      </c>
      <c r="K530" s="54" t="s">
        <v>1040</v>
      </c>
      <c r="L530" s="54" t="s">
        <v>230</v>
      </c>
      <c r="M530" s="54" t="s">
        <v>231</v>
      </c>
      <c r="N530" s="54"/>
      <c r="O530" s="54">
        <v>13</v>
      </c>
      <c r="P530" s="54"/>
      <c r="Q530" s="54"/>
      <c r="R530" s="54"/>
      <c r="S530" s="54"/>
      <c r="T530" s="54"/>
      <c r="U530" s="54"/>
      <c r="V530" s="54"/>
      <c r="W530" s="54"/>
      <c r="X530" s="66" t="str">
        <f t="shared" si="28"/>
        <v/>
      </c>
      <c r="Y530" s="71">
        <v>67.7</v>
      </c>
      <c r="Z530" s="192" t="str">
        <f t="shared" si="27"/>
        <v/>
      </c>
      <c r="AA530" s="66"/>
      <c r="AB530" s="66"/>
      <c r="AC530" s="66"/>
      <c r="AD530" s="172"/>
      <c r="AE530" s="172"/>
      <c r="AF530" s="172"/>
      <c r="AG530" s="172"/>
      <c r="AH530" s="172"/>
      <c r="AI530" s="172"/>
      <c r="AJ530" s="172"/>
      <c r="AK530" s="172"/>
      <c r="AL530" s="172"/>
    </row>
    <row r="531" spans="1:38" s="45" customFormat="1">
      <c r="A531" s="53">
        <v>86</v>
      </c>
      <c r="B531" s="60" t="s">
        <v>223</v>
      </c>
      <c r="C531" s="60">
        <v>1991</v>
      </c>
      <c r="D531" s="60" t="s">
        <v>224</v>
      </c>
      <c r="E531" s="56" t="s">
        <v>20</v>
      </c>
      <c r="F531" s="69">
        <v>32961</v>
      </c>
      <c r="G531" s="54" t="s">
        <v>227</v>
      </c>
      <c r="H531" s="54" t="s">
        <v>146</v>
      </c>
      <c r="I531" s="54"/>
      <c r="J531" s="54" t="s">
        <v>1034</v>
      </c>
      <c r="K531" s="54" t="s">
        <v>1040</v>
      </c>
      <c r="L531" s="54" t="s">
        <v>230</v>
      </c>
      <c r="M531" s="54" t="s">
        <v>231</v>
      </c>
      <c r="N531" s="54"/>
      <c r="O531" s="54">
        <v>19</v>
      </c>
      <c r="P531" s="54"/>
      <c r="Q531" s="54"/>
      <c r="R531" s="54"/>
      <c r="S531" s="54"/>
      <c r="T531" s="54"/>
      <c r="U531" s="54"/>
      <c r="V531" s="54"/>
      <c r="W531" s="54"/>
      <c r="X531" s="66" t="str">
        <f t="shared" si="28"/>
        <v/>
      </c>
      <c r="Y531" s="71">
        <v>82.8</v>
      </c>
      <c r="Z531" s="192" t="str">
        <f t="shared" si="27"/>
        <v/>
      </c>
      <c r="AA531" s="66"/>
      <c r="AB531" s="66"/>
      <c r="AC531" s="66"/>
      <c r="AD531" s="172"/>
      <c r="AE531" s="172"/>
      <c r="AF531" s="172"/>
      <c r="AG531" s="172"/>
      <c r="AH531" s="172"/>
      <c r="AI531" s="172"/>
      <c r="AJ531" s="172"/>
      <c r="AK531" s="172"/>
      <c r="AL531" s="172"/>
    </row>
    <row r="532" spans="1:38" s="45" customFormat="1">
      <c r="A532" s="53">
        <v>86</v>
      </c>
      <c r="B532" s="60" t="s">
        <v>223</v>
      </c>
      <c r="C532" s="60">
        <v>1991</v>
      </c>
      <c r="D532" s="60" t="s">
        <v>224</v>
      </c>
      <c r="E532" s="56" t="s">
        <v>20</v>
      </c>
      <c r="F532" s="69">
        <v>33009</v>
      </c>
      <c r="G532" s="54" t="s">
        <v>227</v>
      </c>
      <c r="H532" s="54" t="s">
        <v>146</v>
      </c>
      <c r="I532" s="54"/>
      <c r="J532" s="54" t="s">
        <v>1034</v>
      </c>
      <c r="K532" s="54" t="s">
        <v>1040</v>
      </c>
      <c r="L532" s="54" t="s">
        <v>230</v>
      </c>
      <c r="M532" s="54" t="s">
        <v>231</v>
      </c>
      <c r="N532" s="54"/>
      <c r="O532" s="54">
        <v>32</v>
      </c>
      <c r="P532" s="54"/>
      <c r="Q532" s="54"/>
      <c r="R532" s="54"/>
      <c r="S532" s="54"/>
      <c r="T532" s="54"/>
      <c r="U532" s="54"/>
      <c r="V532" s="54"/>
      <c r="W532" s="54"/>
      <c r="X532" s="66" t="str">
        <f t="shared" si="28"/>
        <v/>
      </c>
      <c r="Y532" s="71">
        <v>107</v>
      </c>
      <c r="Z532" s="192" t="str">
        <f t="shared" si="27"/>
        <v/>
      </c>
      <c r="AA532" s="66"/>
      <c r="AB532" s="66"/>
      <c r="AC532" s="66"/>
      <c r="AD532" s="172"/>
      <c r="AE532" s="172"/>
      <c r="AF532" s="172"/>
      <c r="AG532" s="172"/>
      <c r="AH532" s="172"/>
      <c r="AI532" s="172"/>
      <c r="AJ532" s="172"/>
      <c r="AK532" s="172"/>
      <c r="AL532" s="172"/>
    </row>
    <row r="533" spans="1:38" s="45" customFormat="1">
      <c r="A533" s="53">
        <v>86</v>
      </c>
      <c r="B533" s="60" t="s">
        <v>223</v>
      </c>
      <c r="C533" s="60">
        <v>1991</v>
      </c>
      <c r="D533" s="60" t="s">
        <v>224</v>
      </c>
      <c r="E533" s="56" t="s">
        <v>20</v>
      </c>
      <c r="F533" s="69">
        <v>32857</v>
      </c>
      <c r="G533" s="54" t="s">
        <v>227</v>
      </c>
      <c r="H533" s="54" t="s">
        <v>146</v>
      </c>
      <c r="I533" s="54"/>
      <c r="J533" s="54" t="s">
        <v>1034</v>
      </c>
      <c r="K533" s="54" t="s">
        <v>1040</v>
      </c>
      <c r="L533" s="54" t="s">
        <v>230</v>
      </c>
      <c r="M533" s="54" t="s">
        <v>231</v>
      </c>
      <c r="N533" s="54"/>
      <c r="O533" s="54">
        <v>2</v>
      </c>
      <c r="P533" s="54"/>
      <c r="Q533" s="54"/>
      <c r="R533" s="54"/>
      <c r="S533" s="54"/>
      <c r="T533" s="54"/>
      <c r="U533" s="54"/>
      <c r="V533" s="54"/>
      <c r="W533" s="54"/>
      <c r="X533" s="66" t="str">
        <f t="shared" si="28"/>
        <v/>
      </c>
      <c r="Y533" s="71">
        <v>113</v>
      </c>
      <c r="Z533" s="192" t="str">
        <f t="shared" si="27"/>
        <v/>
      </c>
      <c r="AA533" s="66"/>
      <c r="AB533" s="66"/>
      <c r="AC533" s="66"/>
      <c r="AD533" s="172"/>
      <c r="AE533" s="172"/>
      <c r="AF533" s="172"/>
      <c r="AG533" s="172"/>
      <c r="AH533" s="172"/>
      <c r="AI533" s="172"/>
      <c r="AJ533" s="172"/>
      <c r="AK533" s="172"/>
      <c r="AL533" s="172"/>
    </row>
    <row r="534" spans="1:38" s="45" customFormat="1">
      <c r="A534" s="53">
        <v>86</v>
      </c>
      <c r="B534" s="60" t="s">
        <v>223</v>
      </c>
      <c r="C534" s="60">
        <v>1991</v>
      </c>
      <c r="D534" s="60" t="s">
        <v>224</v>
      </c>
      <c r="E534" s="56" t="s">
        <v>20</v>
      </c>
      <c r="F534" s="69">
        <v>33008</v>
      </c>
      <c r="G534" s="54" t="s">
        <v>227</v>
      </c>
      <c r="H534" s="54" t="s">
        <v>146</v>
      </c>
      <c r="I534" s="54"/>
      <c r="J534" s="54" t="s">
        <v>1034</v>
      </c>
      <c r="K534" s="54" t="s">
        <v>1040</v>
      </c>
      <c r="L534" s="54" t="s">
        <v>230</v>
      </c>
      <c r="M534" s="54" t="s">
        <v>231</v>
      </c>
      <c r="N534" s="54"/>
      <c r="O534" s="54">
        <v>27</v>
      </c>
      <c r="P534" s="54"/>
      <c r="Q534" s="54"/>
      <c r="R534" s="54"/>
      <c r="S534" s="54"/>
      <c r="T534" s="54"/>
      <c r="U534" s="54"/>
      <c r="V534" s="54"/>
      <c r="W534" s="54"/>
      <c r="X534" s="66" t="str">
        <f t="shared" si="28"/>
        <v/>
      </c>
      <c r="Y534" s="71">
        <v>113.1</v>
      </c>
      <c r="Z534" s="192" t="str">
        <f t="shared" si="27"/>
        <v/>
      </c>
      <c r="AA534" s="66"/>
      <c r="AB534" s="66"/>
      <c r="AC534" s="66"/>
      <c r="AD534" s="172"/>
      <c r="AE534" s="172"/>
      <c r="AF534" s="172"/>
      <c r="AG534" s="172"/>
      <c r="AH534" s="172"/>
      <c r="AI534" s="172"/>
      <c r="AJ534" s="172"/>
      <c r="AK534" s="172"/>
      <c r="AL534" s="172"/>
    </row>
    <row r="535" spans="1:38" s="45" customFormat="1">
      <c r="A535" s="53">
        <v>86</v>
      </c>
      <c r="B535" s="60" t="s">
        <v>223</v>
      </c>
      <c r="C535" s="60">
        <v>1991</v>
      </c>
      <c r="D535" s="60" t="s">
        <v>224</v>
      </c>
      <c r="E535" s="56" t="s">
        <v>20</v>
      </c>
      <c r="F535" s="69">
        <v>33008</v>
      </c>
      <c r="G535" s="54" t="s">
        <v>227</v>
      </c>
      <c r="H535" s="54" t="s">
        <v>146</v>
      </c>
      <c r="I535" s="54"/>
      <c r="J535" s="54" t="s">
        <v>1034</v>
      </c>
      <c r="K535" s="54" t="s">
        <v>1040</v>
      </c>
      <c r="L535" s="54" t="s">
        <v>230</v>
      </c>
      <c r="M535" s="54" t="s">
        <v>231</v>
      </c>
      <c r="N535" s="54"/>
      <c r="O535" s="54">
        <v>23</v>
      </c>
      <c r="P535" s="54"/>
      <c r="Q535" s="54"/>
      <c r="R535" s="54"/>
      <c r="S535" s="54"/>
      <c r="T535" s="54"/>
      <c r="U535" s="54"/>
      <c r="V535" s="54"/>
      <c r="W535" s="54"/>
      <c r="X535" s="66" t="str">
        <f t="shared" si="28"/>
        <v/>
      </c>
      <c r="Y535" s="71">
        <v>149.30000000000001</v>
      </c>
      <c r="Z535" s="192" t="str">
        <f t="shared" si="27"/>
        <v/>
      </c>
      <c r="AA535" s="66"/>
      <c r="AB535" s="66"/>
      <c r="AC535" s="66"/>
      <c r="AD535" s="172"/>
      <c r="AE535" s="172"/>
      <c r="AF535" s="172"/>
      <c r="AG535" s="172"/>
      <c r="AH535" s="172"/>
      <c r="AI535" s="172"/>
      <c r="AJ535" s="172"/>
      <c r="AK535" s="172"/>
      <c r="AL535" s="172"/>
    </row>
    <row r="536" spans="1:38" s="45" customFormat="1">
      <c r="A536" s="53">
        <v>86</v>
      </c>
      <c r="B536" s="60" t="s">
        <v>223</v>
      </c>
      <c r="C536" s="60">
        <v>1991</v>
      </c>
      <c r="D536" s="60" t="s">
        <v>224</v>
      </c>
      <c r="E536" s="56" t="s">
        <v>20</v>
      </c>
      <c r="F536" s="69">
        <v>32857</v>
      </c>
      <c r="G536" s="54" t="s">
        <v>227</v>
      </c>
      <c r="H536" s="54" t="s">
        <v>146</v>
      </c>
      <c r="I536" s="54"/>
      <c r="J536" s="54" t="s">
        <v>1034</v>
      </c>
      <c r="K536" s="54" t="s">
        <v>1040</v>
      </c>
      <c r="L536" s="54" t="s">
        <v>230</v>
      </c>
      <c r="M536" s="54" t="s">
        <v>231</v>
      </c>
      <c r="N536" s="54"/>
      <c r="O536" s="54">
        <v>8</v>
      </c>
      <c r="P536" s="54"/>
      <c r="Q536" s="54"/>
      <c r="R536" s="54"/>
      <c r="S536" s="54"/>
      <c r="T536" s="54"/>
      <c r="U536" s="54"/>
      <c r="V536" s="54"/>
      <c r="W536" s="54"/>
      <c r="X536" s="66" t="str">
        <f t="shared" si="28"/>
        <v/>
      </c>
      <c r="Y536" s="71">
        <v>165</v>
      </c>
      <c r="Z536" s="192" t="str">
        <f t="shared" si="27"/>
        <v/>
      </c>
      <c r="AA536" s="66"/>
      <c r="AB536" s="66"/>
      <c r="AC536" s="66"/>
      <c r="AD536" s="172"/>
      <c r="AE536" s="172"/>
      <c r="AF536" s="172"/>
      <c r="AG536" s="172"/>
      <c r="AH536" s="172"/>
      <c r="AI536" s="172"/>
      <c r="AJ536" s="172"/>
      <c r="AK536" s="172"/>
      <c r="AL536" s="172"/>
    </row>
    <row r="537" spans="1:38" s="45" customFormat="1">
      <c r="A537" s="53">
        <v>86</v>
      </c>
      <c r="B537" s="60" t="s">
        <v>223</v>
      </c>
      <c r="C537" s="60">
        <v>1991</v>
      </c>
      <c r="D537" s="60" t="s">
        <v>224</v>
      </c>
      <c r="E537" s="56" t="s">
        <v>20</v>
      </c>
      <c r="F537" s="69">
        <v>32961</v>
      </c>
      <c r="G537" s="54" t="s">
        <v>227</v>
      </c>
      <c r="H537" s="54" t="s">
        <v>146</v>
      </c>
      <c r="I537" s="54"/>
      <c r="J537" s="54" t="s">
        <v>1034</v>
      </c>
      <c r="K537" s="54" t="s">
        <v>1040</v>
      </c>
      <c r="L537" s="54" t="s">
        <v>230</v>
      </c>
      <c r="M537" s="54" t="s">
        <v>231</v>
      </c>
      <c r="N537" s="54"/>
      <c r="O537" s="54">
        <v>15</v>
      </c>
      <c r="P537" s="54"/>
      <c r="Q537" s="54"/>
      <c r="R537" s="54"/>
      <c r="S537" s="54"/>
      <c r="T537" s="54"/>
      <c r="U537" s="54"/>
      <c r="V537" s="54"/>
      <c r="W537" s="54"/>
      <c r="X537" s="66" t="str">
        <f t="shared" si="28"/>
        <v/>
      </c>
      <c r="Y537" s="71">
        <v>187.2</v>
      </c>
      <c r="Z537" s="192" t="str">
        <f t="shared" ref="Z537:Z553" si="29">IF(X537&lt;&gt;"",IF(X537&lt;0.9,"S","F"),"")</f>
        <v/>
      </c>
      <c r="AA537" s="66"/>
      <c r="AB537" s="66"/>
      <c r="AC537" s="66"/>
      <c r="AD537" s="172"/>
      <c r="AE537" s="172"/>
      <c r="AF537" s="172"/>
      <c r="AG537" s="172"/>
      <c r="AH537" s="172"/>
      <c r="AI537" s="172"/>
      <c r="AJ537" s="172"/>
      <c r="AK537" s="172"/>
      <c r="AL537" s="172"/>
    </row>
    <row r="538" spans="1:38" s="45" customFormat="1">
      <c r="A538" s="53">
        <v>86</v>
      </c>
      <c r="B538" s="60" t="s">
        <v>223</v>
      </c>
      <c r="C538" s="60">
        <v>1991</v>
      </c>
      <c r="D538" s="60" t="s">
        <v>224</v>
      </c>
      <c r="E538" s="56" t="s">
        <v>20</v>
      </c>
      <c r="F538" s="69">
        <v>33093</v>
      </c>
      <c r="G538" s="54" t="s">
        <v>227</v>
      </c>
      <c r="H538" s="54" t="s">
        <v>146</v>
      </c>
      <c r="I538" s="54"/>
      <c r="J538" s="54" t="s">
        <v>1034</v>
      </c>
      <c r="K538" s="54" t="s">
        <v>1040</v>
      </c>
      <c r="L538" s="54" t="s">
        <v>230</v>
      </c>
      <c r="M538" s="54" t="s">
        <v>231</v>
      </c>
      <c r="N538" s="54"/>
      <c r="O538" s="54">
        <v>34</v>
      </c>
      <c r="P538" s="54"/>
      <c r="Q538" s="54"/>
      <c r="R538" s="54"/>
      <c r="S538" s="54"/>
      <c r="T538" s="54"/>
      <c r="U538" s="54"/>
      <c r="V538" s="54"/>
      <c r="W538" s="54"/>
      <c r="X538" s="66" t="str">
        <f t="shared" si="28"/>
        <v/>
      </c>
      <c r="Y538" s="71">
        <v>198.3</v>
      </c>
      <c r="Z538" s="192" t="str">
        <f t="shared" si="29"/>
        <v/>
      </c>
      <c r="AA538" s="66"/>
      <c r="AB538" s="66"/>
      <c r="AC538" s="66"/>
      <c r="AD538" s="172"/>
      <c r="AE538" s="172"/>
      <c r="AF538" s="172"/>
      <c r="AG538" s="172"/>
      <c r="AH538" s="172"/>
      <c r="AI538" s="172"/>
      <c r="AJ538" s="172"/>
      <c r="AK538" s="172"/>
      <c r="AL538" s="172"/>
    </row>
    <row r="539" spans="1:38" s="45" customFormat="1">
      <c r="A539" s="53">
        <v>86</v>
      </c>
      <c r="B539" s="60" t="s">
        <v>223</v>
      </c>
      <c r="C539" s="60">
        <v>1991</v>
      </c>
      <c r="D539" s="60" t="s">
        <v>224</v>
      </c>
      <c r="E539" s="56" t="s">
        <v>20</v>
      </c>
      <c r="F539" s="69">
        <v>33093</v>
      </c>
      <c r="G539" s="54" t="s">
        <v>227</v>
      </c>
      <c r="H539" s="54" t="s">
        <v>146</v>
      </c>
      <c r="I539" s="54"/>
      <c r="J539" s="54" t="s">
        <v>1034</v>
      </c>
      <c r="K539" s="54" t="s">
        <v>1040</v>
      </c>
      <c r="L539" s="54" t="s">
        <v>230</v>
      </c>
      <c r="M539" s="54" t="s">
        <v>231</v>
      </c>
      <c r="N539" s="54"/>
      <c r="O539" s="54">
        <v>44</v>
      </c>
      <c r="P539" s="54"/>
      <c r="Q539" s="54"/>
      <c r="R539" s="54"/>
      <c r="S539" s="54"/>
      <c r="T539" s="54"/>
      <c r="U539" s="54"/>
      <c r="V539" s="54"/>
      <c r="W539" s="54"/>
      <c r="X539" s="66" t="str">
        <f t="shared" si="28"/>
        <v/>
      </c>
      <c r="Y539" s="71">
        <v>264.89999999999998</v>
      </c>
      <c r="Z539" s="192" t="str">
        <f t="shared" si="29"/>
        <v/>
      </c>
      <c r="AA539" s="66"/>
      <c r="AB539" s="66"/>
      <c r="AC539" s="66"/>
      <c r="AD539" s="172"/>
      <c r="AE539" s="172"/>
      <c r="AF539" s="172"/>
      <c r="AG539" s="172"/>
      <c r="AH539" s="172"/>
      <c r="AI539" s="172"/>
      <c r="AJ539" s="172"/>
      <c r="AK539" s="172"/>
      <c r="AL539" s="172"/>
    </row>
    <row r="540" spans="1:38" s="45" customFormat="1">
      <c r="A540" s="53">
        <v>86</v>
      </c>
      <c r="B540" s="60" t="s">
        <v>223</v>
      </c>
      <c r="C540" s="60">
        <v>1991</v>
      </c>
      <c r="D540" s="60" t="s">
        <v>224</v>
      </c>
      <c r="E540" s="56" t="s">
        <v>20</v>
      </c>
      <c r="F540" s="69">
        <v>33093</v>
      </c>
      <c r="G540" s="54" t="s">
        <v>227</v>
      </c>
      <c r="H540" s="54" t="s">
        <v>146</v>
      </c>
      <c r="I540" s="54"/>
      <c r="J540" s="54" t="s">
        <v>1034</v>
      </c>
      <c r="K540" s="54" t="s">
        <v>1040</v>
      </c>
      <c r="L540" s="54" t="s">
        <v>230</v>
      </c>
      <c r="M540" s="54" t="s">
        <v>231</v>
      </c>
      <c r="N540" s="54"/>
      <c r="O540" s="54">
        <v>41</v>
      </c>
      <c r="P540" s="54"/>
      <c r="Q540" s="54"/>
      <c r="R540" s="54"/>
      <c r="S540" s="54"/>
      <c r="T540" s="54"/>
      <c r="U540" s="54"/>
      <c r="V540" s="54"/>
      <c r="W540" s="54"/>
      <c r="X540" s="66" t="str">
        <f t="shared" si="28"/>
        <v/>
      </c>
      <c r="Y540" s="71">
        <v>278.7</v>
      </c>
      <c r="Z540" s="192" t="str">
        <f t="shared" si="29"/>
        <v/>
      </c>
      <c r="AA540" s="66"/>
      <c r="AB540" s="66"/>
      <c r="AC540" s="66"/>
      <c r="AD540" s="172"/>
      <c r="AE540" s="172"/>
      <c r="AF540" s="172"/>
      <c r="AG540" s="172"/>
      <c r="AH540" s="172"/>
      <c r="AI540" s="172"/>
      <c r="AJ540" s="172"/>
      <c r="AK540" s="172"/>
      <c r="AL540" s="172"/>
    </row>
    <row r="541" spans="1:38" s="45" customFormat="1">
      <c r="A541" s="53">
        <v>86</v>
      </c>
      <c r="B541" s="60" t="s">
        <v>223</v>
      </c>
      <c r="C541" s="60">
        <v>1991</v>
      </c>
      <c r="D541" s="60" t="s">
        <v>224</v>
      </c>
      <c r="E541" s="56" t="s">
        <v>20</v>
      </c>
      <c r="F541" s="69">
        <v>32961</v>
      </c>
      <c r="G541" s="54" t="s">
        <v>227</v>
      </c>
      <c r="H541" s="54" t="s">
        <v>146</v>
      </c>
      <c r="I541" s="54"/>
      <c r="J541" s="54" t="s">
        <v>1034</v>
      </c>
      <c r="K541" s="54" t="s">
        <v>1066</v>
      </c>
      <c r="L541" s="54" t="s">
        <v>234</v>
      </c>
      <c r="M541" s="54" t="s">
        <v>235</v>
      </c>
      <c r="N541" s="54"/>
      <c r="O541" s="54">
        <v>11</v>
      </c>
      <c r="P541" s="54"/>
      <c r="Q541" s="54"/>
      <c r="R541" s="54"/>
      <c r="S541" s="54"/>
      <c r="T541" s="54"/>
      <c r="U541" s="54"/>
      <c r="V541" s="54"/>
      <c r="W541" s="54"/>
      <c r="X541" s="66" t="str">
        <f t="shared" si="28"/>
        <v/>
      </c>
      <c r="Y541" s="71">
        <v>104.8</v>
      </c>
      <c r="Z541" s="192" t="str">
        <f t="shared" si="29"/>
        <v/>
      </c>
      <c r="AA541" s="66"/>
      <c r="AB541" s="66"/>
      <c r="AC541" s="66"/>
      <c r="AD541" s="172"/>
      <c r="AE541" s="172"/>
      <c r="AF541" s="172"/>
      <c r="AG541" s="172"/>
      <c r="AH541" s="172"/>
      <c r="AI541" s="172"/>
      <c r="AJ541" s="172"/>
      <c r="AK541" s="172"/>
      <c r="AL541" s="172"/>
    </row>
    <row r="542" spans="1:38" s="45" customFormat="1">
      <c r="A542" s="53">
        <v>86</v>
      </c>
      <c r="B542" s="60" t="s">
        <v>223</v>
      </c>
      <c r="C542" s="60">
        <v>1991</v>
      </c>
      <c r="D542" s="60" t="s">
        <v>224</v>
      </c>
      <c r="E542" s="56" t="s">
        <v>20</v>
      </c>
      <c r="F542" s="69">
        <v>32857</v>
      </c>
      <c r="G542" s="54" t="s">
        <v>227</v>
      </c>
      <c r="H542" s="54" t="s">
        <v>146</v>
      </c>
      <c r="I542" s="54"/>
      <c r="J542" s="54" t="s">
        <v>1034</v>
      </c>
      <c r="K542" s="54" t="s">
        <v>1066</v>
      </c>
      <c r="L542" s="54" t="s">
        <v>234</v>
      </c>
      <c r="M542" s="54" t="s">
        <v>235</v>
      </c>
      <c r="N542" s="54"/>
      <c r="O542" s="54">
        <v>4</v>
      </c>
      <c r="P542" s="54"/>
      <c r="Q542" s="54"/>
      <c r="R542" s="54"/>
      <c r="S542" s="54"/>
      <c r="T542" s="54"/>
      <c r="U542" s="54"/>
      <c r="V542" s="54"/>
      <c r="W542" s="54"/>
      <c r="X542" s="66" t="str">
        <f t="shared" si="28"/>
        <v/>
      </c>
      <c r="Y542" s="71">
        <v>127</v>
      </c>
      <c r="Z542" s="192" t="str">
        <f t="shared" si="29"/>
        <v/>
      </c>
      <c r="AA542" s="66"/>
      <c r="AB542" s="66"/>
      <c r="AC542" s="66"/>
      <c r="AD542" s="172"/>
      <c r="AE542" s="172"/>
      <c r="AF542" s="172"/>
      <c r="AG542" s="172"/>
      <c r="AH542" s="172"/>
      <c r="AI542" s="172"/>
      <c r="AJ542" s="172"/>
      <c r="AK542" s="172"/>
      <c r="AL542" s="172"/>
    </row>
    <row r="543" spans="1:38" s="45" customFormat="1">
      <c r="A543" s="53">
        <v>86</v>
      </c>
      <c r="B543" s="60" t="s">
        <v>223</v>
      </c>
      <c r="C543" s="60">
        <v>1991</v>
      </c>
      <c r="D543" s="60" t="s">
        <v>224</v>
      </c>
      <c r="E543" s="56" t="s">
        <v>20</v>
      </c>
      <c r="F543" s="69">
        <v>33008</v>
      </c>
      <c r="G543" s="54" t="s">
        <v>227</v>
      </c>
      <c r="H543" s="54" t="s">
        <v>146</v>
      </c>
      <c r="I543" s="54"/>
      <c r="J543" s="54" t="s">
        <v>1034</v>
      </c>
      <c r="K543" s="54" t="s">
        <v>1066</v>
      </c>
      <c r="L543" s="54" t="s">
        <v>234</v>
      </c>
      <c r="M543" s="54" t="s">
        <v>235</v>
      </c>
      <c r="N543" s="54"/>
      <c r="O543" s="54">
        <v>26</v>
      </c>
      <c r="P543" s="54"/>
      <c r="Q543" s="54"/>
      <c r="R543" s="54"/>
      <c r="S543" s="54"/>
      <c r="T543" s="54"/>
      <c r="U543" s="54"/>
      <c r="V543" s="54"/>
      <c r="W543" s="54"/>
      <c r="X543" s="66" t="str">
        <f t="shared" si="28"/>
        <v/>
      </c>
      <c r="Y543" s="71">
        <v>134.30000000000001</v>
      </c>
      <c r="Z543" s="192" t="str">
        <f t="shared" si="29"/>
        <v/>
      </c>
      <c r="AA543" s="66"/>
      <c r="AB543" s="66"/>
      <c r="AC543" s="66"/>
      <c r="AD543" s="172"/>
      <c r="AE543" s="172"/>
      <c r="AF543" s="172"/>
      <c r="AG543" s="172"/>
      <c r="AH543" s="172"/>
      <c r="AI543" s="172"/>
      <c r="AJ543" s="172"/>
      <c r="AK543" s="172"/>
      <c r="AL543" s="172"/>
    </row>
    <row r="544" spans="1:38" s="45" customFormat="1">
      <c r="A544" s="53">
        <v>86</v>
      </c>
      <c r="B544" s="60" t="s">
        <v>223</v>
      </c>
      <c r="C544" s="60">
        <v>1991</v>
      </c>
      <c r="D544" s="60" t="s">
        <v>224</v>
      </c>
      <c r="E544" s="56" t="s">
        <v>20</v>
      </c>
      <c r="F544" s="69">
        <v>33009</v>
      </c>
      <c r="G544" s="54" t="s">
        <v>227</v>
      </c>
      <c r="H544" s="54" t="s">
        <v>146</v>
      </c>
      <c r="I544" s="54"/>
      <c r="J544" s="54" t="s">
        <v>1034</v>
      </c>
      <c r="K544" s="54" t="s">
        <v>1066</v>
      </c>
      <c r="L544" s="54" t="s">
        <v>234</v>
      </c>
      <c r="M544" s="54" t="s">
        <v>235</v>
      </c>
      <c r="N544" s="54"/>
      <c r="O544" s="54">
        <v>29</v>
      </c>
      <c r="P544" s="54"/>
      <c r="Q544" s="54"/>
      <c r="R544" s="54"/>
      <c r="S544" s="54"/>
      <c r="T544" s="54"/>
      <c r="U544" s="54"/>
      <c r="V544" s="54"/>
      <c r="W544" s="54"/>
      <c r="X544" s="66" t="str">
        <f t="shared" si="28"/>
        <v/>
      </c>
      <c r="Y544" s="71">
        <v>140.30000000000001</v>
      </c>
      <c r="Z544" s="192" t="str">
        <f t="shared" si="29"/>
        <v/>
      </c>
      <c r="AA544" s="66"/>
      <c r="AB544" s="66"/>
      <c r="AC544" s="66"/>
      <c r="AD544" s="172"/>
      <c r="AE544" s="172"/>
      <c r="AF544" s="172"/>
      <c r="AG544" s="172"/>
      <c r="AH544" s="172"/>
      <c r="AI544" s="172"/>
      <c r="AJ544" s="172"/>
      <c r="AK544" s="172"/>
      <c r="AL544" s="172"/>
    </row>
    <row r="545" spans="1:38" s="45" customFormat="1">
      <c r="A545" s="53">
        <v>86</v>
      </c>
      <c r="B545" s="60" t="s">
        <v>223</v>
      </c>
      <c r="C545" s="60">
        <v>1991</v>
      </c>
      <c r="D545" s="60" t="s">
        <v>224</v>
      </c>
      <c r="E545" s="56" t="s">
        <v>20</v>
      </c>
      <c r="F545" s="69">
        <v>32961</v>
      </c>
      <c r="G545" s="54" t="s">
        <v>227</v>
      </c>
      <c r="H545" s="54" t="s">
        <v>146</v>
      </c>
      <c r="I545" s="54"/>
      <c r="J545" s="54" t="s">
        <v>1034</v>
      </c>
      <c r="K545" s="54" t="s">
        <v>1066</v>
      </c>
      <c r="L545" s="54" t="s">
        <v>234</v>
      </c>
      <c r="M545" s="54" t="s">
        <v>235</v>
      </c>
      <c r="N545" s="54"/>
      <c r="O545" s="54">
        <v>17</v>
      </c>
      <c r="P545" s="54"/>
      <c r="Q545" s="54"/>
      <c r="R545" s="54"/>
      <c r="S545" s="54"/>
      <c r="T545" s="54"/>
      <c r="U545" s="54"/>
      <c r="V545" s="54"/>
      <c r="W545" s="54"/>
      <c r="X545" s="66" t="str">
        <f t="shared" si="28"/>
        <v/>
      </c>
      <c r="Y545" s="71">
        <v>142</v>
      </c>
      <c r="Z545" s="192" t="str">
        <f t="shared" si="29"/>
        <v/>
      </c>
      <c r="AA545" s="66"/>
      <c r="AB545" s="66"/>
      <c r="AC545" s="66"/>
      <c r="AD545" s="172"/>
      <c r="AE545" s="172"/>
      <c r="AF545" s="172"/>
      <c r="AG545" s="172"/>
      <c r="AH545" s="172"/>
      <c r="AI545" s="172"/>
      <c r="AJ545" s="172"/>
      <c r="AK545" s="172"/>
      <c r="AL545" s="172"/>
    </row>
    <row r="546" spans="1:38" s="45" customFormat="1">
      <c r="A546" s="53">
        <v>86</v>
      </c>
      <c r="B546" s="60" t="s">
        <v>223</v>
      </c>
      <c r="C546" s="60">
        <v>1991</v>
      </c>
      <c r="D546" s="60" t="s">
        <v>224</v>
      </c>
      <c r="E546" s="56" t="s">
        <v>20</v>
      </c>
      <c r="F546" s="69">
        <v>33008</v>
      </c>
      <c r="G546" s="54" t="s">
        <v>227</v>
      </c>
      <c r="H546" s="54" t="s">
        <v>146</v>
      </c>
      <c r="I546" s="54"/>
      <c r="J546" s="54" t="s">
        <v>1034</v>
      </c>
      <c r="K546" s="54" t="s">
        <v>1066</v>
      </c>
      <c r="L546" s="54" t="s">
        <v>234</v>
      </c>
      <c r="M546" s="54" t="s">
        <v>235</v>
      </c>
      <c r="N546" s="54"/>
      <c r="O546" s="54">
        <v>24</v>
      </c>
      <c r="P546" s="54"/>
      <c r="Q546" s="54"/>
      <c r="R546" s="54"/>
      <c r="S546" s="54"/>
      <c r="T546" s="54"/>
      <c r="U546" s="54"/>
      <c r="V546" s="54"/>
      <c r="W546" s="54"/>
      <c r="X546" s="66" t="str">
        <f t="shared" si="28"/>
        <v/>
      </c>
      <c r="Y546" s="71">
        <v>155.19999999999999</v>
      </c>
      <c r="Z546" s="192" t="str">
        <f t="shared" si="29"/>
        <v/>
      </c>
      <c r="AA546" s="66"/>
      <c r="AB546" s="66"/>
      <c r="AC546" s="66"/>
      <c r="AD546" s="172"/>
      <c r="AE546" s="172"/>
      <c r="AF546" s="172"/>
      <c r="AG546" s="172"/>
      <c r="AH546" s="172"/>
      <c r="AI546" s="172"/>
      <c r="AJ546" s="172"/>
      <c r="AK546" s="172"/>
      <c r="AL546" s="172"/>
    </row>
    <row r="547" spans="1:38" s="45" customFormat="1">
      <c r="A547" s="53">
        <v>86</v>
      </c>
      <c r="B547" s="60" t="s">
        <v>223</v>
      </c>
      <c r="C547" s="60">
        <v>1991</v>
      </c>
      <c r="D547" s="60" t="s">
        <v>224</v>
      </c>
      <c r="E547" s="56" t="s">
        <v>20</v>
      </c>
      <c r="F547" s="69">
        <v>32857</v>
      </c>
      <c r="G547" s="54" t="s">
        <v>227</v>
      </c>
      <c r="H547" s="54" t="s">
        <v>146</v>
      </c>
      <c r="I547" s="54"/>
      <c r="J547" s="54" t="s">
        <v>1034</v>
      </c>
      <c r="K547" s="54" t="s">
        <v>1066</v>
      </c>
      <c r="L547" s="54" t="s">
        <v>234</v>
      </c>
      <c r="M547" s="54" t="s">
        <v>235</v>
      </c>
      <c r="N547" s="54"/>
      <c r="O547" s="54">
        <v>7</v>
      </c>
      <c r="P547" s="54"/>
      <c r="Q547" s="54"/>
      <c r="R547" s="54"/>
      <c r="S547" s="54"/>
      <c r="T547" s="54"/>
      <c r="U547" s="54"/>
      <c r="V547" s="54"/>
      <c r="W547" s="54"/>
      <c r="X547" s="66" t="str">
        <f t="shared" si="28"/>
        <v/>
      </c>
      <c r="Y547" s="71">
        <v>159</v>
      </c>
      <c r="Z547" s="192" t="str">
        <f t="shared" si="29"/>
        <v/>
      </c>
      <c r="AA547" s="66"/>
      <c r="AB547" s="66"/>
      <c r="AC547" s="66"/>
      <c r="AD547" s="172"/>
      <c r="AE547" s="172"/>
      <c r="AF547" s="172"/>
      <c r="AG547" s="172"/>
      <c r="AH547" s="172"/>
      <c r="AI547" s="172"/>
      <c r="AJ547" s="172"/>
      <c r="AK547" s="172"/>
      <c r="AL547" s="172"/>
    </row>
    <row r="548" spans="1:38" s="45" customFormat="1">
      <c r="A548" s="53">
        <v>86</v>
      </c>
      <c r="B548" s="60" t="s">
        <v>223</v>
      </c>
      <c r="C548" s="60">
        <v>1991</v>
      </c>
      <c r="D548" s="60" t="s">
        <v>224</v>
      </c>
      <c r="E548" s="56" t="s">
        <v>20</v>
      </c>
      <c r="F548" s="69">
        <v>33093</v>
      </c>
      <c r="G548" s="54" t="s">
        <v>227</v>
      </c>
      <c r="H548" s="54" t="s">
        <v>146</v>
      </c>
      <c r="I548" s="54"/>
      <c r="J548" s="54" t="s">
        <v>1034</v>
      </c>
      <c r="K548" s="54" t="s">
        <v>1066</v>
      </c>
      <c r="L548" s="54" t="s">
        <v>234</v>
      </c>
      <c r="M548" s="54" t="s">
        <v>235</v>
      </c>
      <c r="N548" s="54"/>
      <c r="O548" s="54">
        <v>43</v>
      </c>
      <c r="P548" s="54"/>
      <c r="Q548" s="54"/>
      <c r="R548" s="54"/>
      <c r="S548" s="54"/>
      <c r="T548" s="54"/>
      <c r="U548" s="54"/>
      <c r="V548" s="54"/>
      <c r="W548" s="54"/>
      <c r="X548" s="66" t="str">
        <f t="shared" si="28"/>
        <v/>
      </c>
      <c r="Y548" s="71">
        <v>163.30000000000001</v>
      </c>
      <c r="Z548" s="192" t="str">
        <f t="shared" si="29"/>
        <v/>
      </c>
      <c r="AA548" s="66"/>
      <c r="AB548" s="66"/>
      <c r="AC548" s="66"/>
      <c r="AD548" s="172"/>
      <c r="AE548" s="172"/>
      <c r="AF548" s="172"/>
      <c r="AG548" s="172"/>
      <c r="AH548" s="172"/>
      <c r="AI548" s="172"/>
      <c r="AJ548" s="172"/>
      <c r="AK548" s="172"/>
      <c r="AL548" s="172"/>
    </row>
    <row r="549" spans="1:38" s="45" customFormat="1">
      <c r="A549" s="53">
        <v>86</v>
      </c>
      <c r="B549" s="60" t="s">
        <v>223</v>
      </c>
      <c r="C549" s="60">
        <v>1991</v>
      </c>
      <c r="D549" s="60" t="s">
        <v>224</v>
      </c>
      <c r="E549" s="56" t="s">
        <v>20</v>
      </c>
      <c r="F549" s="69">
        <v>32961</v>
      </c>
      <c r="G549" s="54" t="s">
        <v>227</v>
      </c>
      <c r="H549" s="54" t="s">
        <v>146</v>
      </c>
      <c r="I549" s="54"/>
      <c r="J549" s="54" t="s">
        <v>1034</v>
      </c>
      <c r="K549" s="54" t="s">
        <v>1066</v>
      </c>
      <c r="L549" s="54" t="s">
        <v>234</v>
      </c>
      <c r="M549" s="54" t="s">
        <v>235</v>
      </c>
      <c r="N549" s="54"/>
      <c r="O549" s="54">
        <v>21</v>
      </c>
      <c r="P549" s="54"/>
      <c r="Q549" s="54"/>
      <c r="R549" s="54"/>
      <c r="S549" s="54"/>
      <c r="T549" s="54"/>
      <c r="U549" s="54"/>
      <c r="V549" s="54"/>
      <c r="W549" s="54"/>
      <c r="X549" s="66" t="str">
        <f t="shared" si="28"/>
        <v/>
      </c>
      <c r="Y549" s="71">
        <v>178.2</v>
      </c>
      <c r="Z549" s="192" t="str">
        <f t="shared" si="29"/>
        <v/>
      </c>
      <c r="AA549" s="66"/>
      <c r="AB549" s="66"/>
      <c r="AC549" s="66"/>
      <c r="AD549" s="172"/>
      <c r="AE549" s="172"/>
      <c r="AF549" s="172"/>
      <c r="AG549" s="172"/>
      <c r="AH549" s="172"/>
      <c r="AI549" s="172"/>
      <c r="AJ549" s="172"/>
      <c r="AK549" s="172"/>
      <c r="AL549" s="172"/>
    </row>
    <row r="550" spans="1:38" s="45" customFormat="1">
      <c r="A550" s="53">
        <v>86</v>
      </c>
      <c r="B550" s="60" t="s">
        <v>223</v>
      </c>
      <c r="C550" s="60">
        <v>1991</v>
      </c>
      <c r="D550" s="60" t="s">
        <v>224</v>
      </c>
      <c r="E550" s="56" t="s">
        <v>20</v>
      </c>
      <c r="F550" s="69">
        <v>33093</v>
      </c>
      <c r="G550" s="54" t="s">
        <v>227</v>
      </c>
      <c r="H550" s="54" t="s">
        <v>146</v>
      </c>
      <c r="I550" s="54"/>
      <c r="J550" s="54" t="s">
        <v>1034</v>
      </c>
      <c r="K550" s="54" t="s">
        <v>1066</v>
      </c>
      <c r="L550" s="54" t="s">
        <v>234</v>
      </c>
      <c r="M550" s="54" t="s">
        <v>235</v>
      </c>
      <c r="N550" s="54"/>
      <c r="O550" s="54">
        <v>39</v>
      </c>
      <c r="P550" s="54"/>
      <c r="Q550" s="54"/>
      <c r="R550" s="54"/>
      <c r="S550" s="54"/>
      <c r="T550" s="54"/>
      <c r="U550" s="54"/>
      <c r="V550" s="54"/>
      <c r="W550" s="54"/>
      <c r="X550" s="66" t="str">
        <f t="shared" si="28"/>
        <v/>
      </c>
      <c r="Y550" s="71">
        <v>208.1</v>
      </c>
      <c r="Z550" s="192" t="str">
        <f t="shared" si="29"/>
        <v/>
      </c>
      <c r="AA550" s="66"/>
      <c r="AB550" s="66"/>
      <c r="AC550" s="66"/>
      <c r="AD550" s="172"/>
      <c r="AE550" s="172"/>
      <c r="AF550" s="172"/>
      <c r="AG550" s="172"/>
      <c r="AH550" s="172"/>
      <c r="AI550" s="172"/>
      <c r="AJ550" s="172"/>
      <c r="AK550" s="172"/>
      <c r="AL550" s="172"/>
    </row>
    <row r="551" spans="1:38" s="45" customFormat="1">
      <c r="A551" s="53">
        <v>86</v>
      </c>
      <c r="B551" s="60" t="s">
        <v>223</v>
      </c>
      <c r="C551" s="60">
        <v>1991</v>
      </c>
      <c r="D551" s="60" t="s">
        <v>224</v>
      </c>
      <c r="E551" s="56" t="s">
        <v>20</v>
      </c>
      <c r="F551" s="69">
        <v>33093</v>
      </c>
      <c r="G551" s="54" t="s">
        <v>227</v>
      </c>
      <c r="H551" s="54" t="s">
        <v>146</v>
      </c>
      <c r="I551" s="54"/>
      <c r="J551" s="54" t="s">
        <v>1034</v>
      </c>
      <c r="K551" s="54" t="s">
        <v>1066</v>
      </c>
      <c r="L551" s="54" t="s">
        <v>234</v>
      </c>
      <c r="M551" s="54" t="s">
        <v>235</v>
      </c>
      <c r="N551" s="54"/>
      <c r="O551" s="54">
        <v>35</v>
      </c>
      <c r="P551" s="54"/>
      <c r="Q551" s="54"/>
      <c r="R551" s="54"/>
      <c r="S551" s="54"/>
      <c r="T551" s="54"/>
      <c r="U551" s="54"/>
      <c r="V551" s="54"/>
      <c r="W551" s="54"/>
      <c r="X551" s="66" t="str">
        <f t="shared" si="28"/>
        <v/>
      </c>
      <c r="Y551" s="71">
        <v>211.9</v>
      </c>
      <c r="Z551" s="192" t="str">
        <f t="shared" si="29"/>
        <v/>
      </c>
      <c r="AA551" s="66"/>
      <c r="AB551" s="66"/>
      <c r="AC551" s="66"/>
      <c r="AD551" s="172"/>
      <c r="AE551" s="172"/>
      <c r="AF551" s="172"/>
      <c r="AG551" s="172"/>
      <c r="AH551" s="172"/>
      <c r="AI551" s="172"/>
      <c r="AJ551" s="172"/>
      <c r="AK551" s="172"/>
      <c r="AL551" s="172"/>
    </row>
    <row r="552" spans="1:38" s="45" customFormat="1">
      <c r="A552" s="53">
        <v>63</v>
      </c>
      <c r="B552" s="60" t="s">
        <v>168</v>
      </c>
      <c r="C552" s="60">
        <v>1989</v>
      </c>
      <c r="D552" s="60" t="s">
        <v>169</v>
      </c>
      <c r="E552" s="56" t="s">
        <v>172</v>
      </c>
      <c r="F552" s="69">
        <v>31758</v>
      </c>
      <c r="G552" s="54" t="s">
        <v>173</v>
      </c>
      <c r="H552" s="54" t="s">
        <v>146</v>
      </c>
      <c r="I552" s="66"/>
      <c r="J552" s="66" t="s">
        <v>1034</v>
      </c>
      <c r="K552" s="78" t="s">
        <v>1039</v>
      </c>
      <c r="L552" s="54" t="s">
        <v>174</v>
      </c>
      <c r="M552" s="54"/>
      <c r="N552" s="54"/>
      <c r="O552" s="54" t="s">
        <v>175</v>
      </c>
      <c r="P552" s="54"/>
      <c r="Q552" s="54"/>
      <c r="R552" s="54"/>
      <c r="S552" s="54"/>
      <c r="T552" s="54"/>
      <c r="U552" s="54"/>
      <c r="V552" s="54"/>
      <c r="W552" s="54"/>
      <c r="X552" s="66" t="str">
        <f t="shared" si="28"/>
        <v/>
      </c>
      <c r="Y552" s="71">
        <v>74</v>
      </c>
      <c r="Z552" s="192" t="str">
        <f t="shared" si="29"/>
        <v/>
      </c>
      <c r="AA552" s="66"/>
      <c r="AB552" s="66"/>
      <c r="AC552" s="66"/>
      <c r="AD552" s="172"/>
      <c r="AE552" s="172"/>
      <c r="AF552" s="172"/>
      <c r="AG552" s="172"/>
      <c r="AH552" s="172"/>
      <c r="AI552" s="172"/>
      <c r="AJ552" s="172"/>
      <c r="AK552" s="172"/>
      <c r="AL552" s="172"/>
    </row>
    <row r="553" spans="1:38" s="45" customFormat="1">
      <c r="A553" s="53">
        <v>63</v>
      </c>
      <c r="B553" s="60" t="s">
        <v>168</v>
      </c>
      <c r="C553" s="60">
        <v>1989</v>
      </c>
      <c r="D553" s="60" t="s">
        <v>169</v>
      </c>
      <c r="E553" s="90" t="s">
        <v>172</v>
      </c>
      <c r="F553" s="77">
        <v>31749</v>
      </c>
      <c r="G553" s="54" t="s">
        <v>183</v>
      </c>
      <c r="H553" s="78" t="s">
        <v>146</v>
      </c>
      <c r="I553" s="66"/>
      <c r="J553" s="66" t="s">
        <v>1034</v>
      </c>
      <c r="K553" s="78" t="s">
        <v>1038</v>
      </c>
      <c r="L553" s="79" t="s">
        <v>184</v>
      </c>
      <c r="M553" s="79"/>
      <c r="N553" s="79"/>
      <c r="O553" s="79" t="s">
        <v>148</v>
      </c>
      <c r="P553" s="79"/>
      <c r="Q553" s="79"/>
      <c r="R553" s="54"/>
      <c r="S553" s="54"/>
      <c r="T553" s="54"/>
      <c r="U553" s="79"/>
      <c r="V553" s="165"/>
      <c r="W553" s="165"/>
      <c r="X553" s="66" t="str">
        <f t="shared" si="28"/>
        <v/>
      </c>
      <c r="Y553" s="82">
        <v>34</v>
      </c>
      <c r="Z553" s="192" t="str">
        <f t="shared" si="29"/>
        <v/>
      </c>
      <c r="AA553" s="66"/>
      <c r="AB553" s="66"/>
      <c r="AC553" s="66"/>
      <c r="AD553" s="172"/>
      <c r="AE553" s="172"/>
      <c r="AF553" s="172"/>
      <c r="AG553" s="172"/>
      <c r="AH553" s="172"/>
      <c r="AI553" s="172"/>
      <c r="AJ553" s="172"/>
      <c r="AK553" s="172"/>
      <c r="AL553" s="172"/>
    </row>
    <row r="554" spans="1:38" s="45" customForma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172"/>
      <c r="AE554" s="172"/>
      <c r="AF554" s="172"/>
      <c r="AG554" s="172"/>
      <c r="AH554" s="172"/>
      <c r="AI554" s="172"/>
      <c r="AJ554" s="172"/>
      <c r="AK554" s="172"/>
      <c r="AL554" s="172"/>
    </row>
    <row r="555" spans="1:38" s="45" customFormat="1">
      <c r="A555" s="172" t="s">
        <v>1024</v>
      </c>
      <c r="B555" s="172"/>
      <c r="C555" s="172"/>
      <c r="D555" s="172"/>
      <c r="E555" s="172"/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  <c r="T555" s="172"/>
      <c r="U555" s="172"/>
      <c r="V555" s="172"/>
      <c r="W555" s="172"/>
      <c r="X555" s="172"/>
      <c r="Y555" s="172"/>
      <c r="Z555" s="172"/>
      <c r="AA555" s="172"/>
      <c r="AB555" s="172"/>
      <c r="AC555" s="172"/>
      <c r="AD555" s="172"/>
      <c r="AE555" s="172"/>
      <c r="AF555" s="172"/>
      <c r="AG555" s="172"/>
      <c r="AH555" s="172"/>
      <c r="AI555" s="172"/>
      <c r="AJ555" s="172"/>
      <c r="AK555" s="172"/>
      <c r="AL555" s="172"/>
    </row>
    <row r="556" spans="1:38" s="45" customFormat="1">
      <c r="A556" s="53">
        <v>193</v>
      </c>
      <c r="B556" s="73" t="s">
        <v>911</v>
      </c>
      <c r="C556" s="54">
        <v>2001</v>
      </c>
      <c r="D556" s="73" t="s">
        <v>912</v>
      </c>
      <c r="E556" s="56" t="s">
        <v>915</v>
      </c>
      <c r="F556" s="54">
        <v>2001</v>
      </c>
      <c r="G556" s="54"/>
      <c r="H556" s="54"/>
      <c r="I556" s="54"/>
      <c r="J556" s="54"/>
      <c r="K556" s="54"/>
      <c r="L556" s="54" t="s">
        <v>919</v>
      </c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>
        <v>65</v>
      </c>
      <c r="Z556" s="172"/>
      <c r="AA556" s="172"/>
      <c r="AB556" s="172"/>
      <c r="AC556" s="172"/>
      <c r="AD556" s="172"/>
      <c r="AE556" s="172"/>
      <c r="AF556" s="172"/>
      <c r="AG556" s="172"/>
      <c r="AH556" s="172"/>
      <c r="AI556" s="172"/>
      <c r="AJ556" s="172"/>
      <c r="AK556" s="172"/>
      <c r="AL556" s="172"/>
    </row>
    <row r="557" spans="1:38" s="45" customFormat="1">
      <c r="A557" s="53">
        <v>193</v>
      </c>
      <c r="B557" s="54" t="s">
        <v>911</v>
      </c>
      <c r="C557" s="54">
        <v>2001</v>
      </c>
      <c r="D557" s="54" t="s">
        <v>912</v>
      </c>
      <c r="E557" s="56" t="s">
        <v>915</v>
      </c>
      <c r="F557" s="54">
        <v>2001</v>
      </c>
      <c r="G557" s="54"/>
      <c r="H557" s="54"/>
      <c r="I557" s="54"/>
      <c r="J557" s="54"/>
      <c r="K557" s="54"/>
      <c r="L557" s="54" t="s">
        <v>920</v>
      </c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>
        <v>70</v>
      </c>
      <c r="Z557" s="172"/>
      <c r="AA557" s="172"/>
      <c r="AB557" s="172"/>
      <c r="AC557" s="172"/>
      <c r="AD557" s="172"/>
      <c r="AE557" s="172"/>
      <c r="AF557" s="172"/>
      <c r="AG557" s="172"/>
      <c r="AH557" s="172"/>
      <c r="AI557" s="172"/>
      <c r="AJ557" s="172"/>
      <c r="AK557" s="172"/>
      <c r="AL557" s="172"/>
    </row>
    <row r="558" spans="1:38" s="45" customFormat="1">
      <c r="A558" s="53">
        <v>193</v>
      </c>
      <c r="B558" s="73" t="s">
        <v>911</v>
      </c>
      <c r="C558" s="54">
        <v>2001</v>
      </c>
      <c r="D558" s="73" t="s">
        <v>912</v>
      </c>
      <c r="E558" s="56" t="s">
        <v>915</v>
      </c>
      <c r="F558" s="54">
        <v>2001</v>
      </c>
      <c r="G558" s="54"/>
      <c r="H558" s="54"/>
      <c r="I558" s="54"/>
      <c r="J558" s="54"/>
      <c r="K558" s="54"/>
      <c r="L558" s="54" t="s">
        <v>918</v>
      </c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>
        <v>78</v>
      </c>
      <c r="Z558" s="172"/>
      <c r="AA558" s="172"/>
      <c r="AB558" s="172"/>
      <c r="AC558" s="172"/>
      <c r="AD558" s="172"/>
      <c r="AE558" s="172"/>
      <c r="AF558" s="172"/>
      <c r="AG558" s="172"/>
      <c r="AH558" s="172"/>
      <c r="AI558" s="172"/>
      <c r="AJ558" s="172"/>
      <c r="AK558" s="172"/>
      <c r="AL558" s="172"/>
    </row>
    <row r="559" spans="1:38" s="45" customFormat="1">
      <c r="A559" s="53">
        <v>193</v>
      </c>
      <c r="B559" s="73" t="s">
        <v>911</v>
      </c>
      <c r="C559" s="54">
        <v>2001</v>
      </c>
      <c r="D559" s="73" t="s">
        <v>912</v>
      </c>
      <c r="E559" s="56" t="s">
        <v>915</v>
      </c>
      <c r="F559" s="54">
        <v>2001</v>
      </c>
      <c r="G559" s="54"/>
      <c r="H559" s="54"/>
      <c r="I559" s="54"/>
      <c r="J559" s="54"/>
      <c r="K559" s="54"/>
      <c r="L559" s="54" t="s">
        <v>274</v>
      </c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>
        <v>92</v>
      </c>
      <c r="Z559" s="172"/>
      <c r="AA559" s="172"/>
      <c r="AB559" s="172"/>
      <c r="AC559" s="172"/>
      <c r="AD559" s="172"/>
      <c r="AE559" s="172"/>
      <c r="AF559" s="172"/>
      <c r="AG559" s="172"/>
      <c r="AH559" s="172"/>
      <c r="AI559" s="172"/>
      <c r="AJ559" s="172"/>
      <c r="AK559" s="172"/>
      <c r="AL559" s="172"/>
    </row>
    <row r="560" spans="1:38" s="45" customFormat="1">
      <c r="A560" s="53">
        <v>193</v>
      </c>
      <c r="B560" s="73" t="s">
        <v>911</v>
      </c>
      <c r="C560" s="54">
        <v>2001</v>
      </c>
      <c r="D560" s="73" t="s">
        <v>912</v>
      </c>
      <c r="E560" s="56" t="s">
        <v>915</v>
      </c>
      <c r="F560" s="54">
        <v>2001</v>
      </c>
      <c r="G560" s="54"/>
      <c r="H560" s="54"/>
      <c r="I560" s="54"/>
      <c r="J560" s="54"/>
      <c r="K560" s="54"/>
      <c r="L560" s="54" t="s">
        <v>273</v>
      </c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>
        <v>104</v>
      </c>
      <c r="Z560" s="172"/>
      <c r="AA560" s="172"/>
      <c r="AB560" s="172"/>
      <c r="AC560" s="172"/>
      <c r="AD560" s="172"/>
      <c r="AE560" s="172"/>
      <c r="AF560" s="172"/>
      <c r="AG560" s="172"/>
      <c r="AH560" s="172"/>
      <c r="AI560" s="172"/>
      <c r="AJ560" s="172"/>
      <c r="AK560" s="172"/>
      <c r="AL560" s="172"/>
    </row>
    <row r="561" spans="1:38" s="45" customFormat="1">
      <c r="A561" s="53">
        <v>193</v>
      </c>
      <c r="B561" s="73" t="s">
        <v>911</v>
      </c>
      <c r="C561" s="54">
        <v>2001</v>
      </c>
      <c r="D561" s="73" t="s">
        <v>912</v>
      </c>
      <c r="E561" s="56" t="s">
        <v>915</v>
      </c>
      <c r="F561" s="54">
        <v>2001</v>
      </c>
      <c r="G561" s="54"/>
      <c r="H561" s="54"/>
      <c r="I561" s="54"/>
      <c r="J561" s="54"/>
      <c r="K561" s="54"/>
      <c r="L561" s="54" t="s">
        <v>916</v>
      </c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>
        <v>107</v>
      </c>
      <c r="Z561" s="172"/>
      <c r="AA561" s="172"/>
      <c r="AB561" s="172"/>
      <c r="AC561" s="172"/>
      <c r="AD561" s="172"/>
      <c r="AE561" s="172"/>
      <c r="AF561" s="172"/>
      <c r="AG561" s="172"/>
      <c r="AH561" s="172"/>
      <c r="AI561" s="172"/>
      <c r="AJ561" s="172"/>
      <c r="AK561" s="172"/>
      <c r="AL561" s="172"/>
    </row>
    <row r="562" spans="1:38" s="45" customFormat="1">
      <c r="A562" s="53">
        <v>193</v>
      </c>
      <c r="B562" s="73" t="s">
        <v>911</v>
      </c>
      <c r="C562" s="54">
        <v>2001</v>
      </c>
      <c r="D562" s="73" t="s">
        <v>912</v>
      </c>
      <c r="E562" s="56" t="s">
        <v>915</v>
      </c>
      <c r="F562" s="54">
        <v>2001</v>
      </c>
      <c r="G562" s="54"/>
      <c r="H562" s="54"/>
      <c r="I562" s="54"/>
      <c r="J562" s="54"/>
      <c r="K562" s="54"/>
      <c r="L562" s="54" t="s">
        <v>917</v>
      </c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>
        <v>200</v>
      </c>
      <c r="Z562" s="172"/>
      <c r="AA562" s="172"/>
      <c r="AB562" s="172"/>
      <c r="AC562" s="172"/>
      <c r="AD562" s="172"/>
      <c r="AE562" s="172"/>
      <c r="AF562" s="172"/>
      <c r="AG562" s="172"/>
      <c r="AH562" s="172"/>
      <c r="AI562" s="172"/>
      <c r="AJ562" s="172"/>
      <c r="AK562" s="172"/>
      <c r="AL562" s="172"/>
    </row>
    <row r="563" spans="1:38" s="45" customFormat="1">
      <c r="A563" s="172"/>
      <c r="B563" s="172"/>
      <c r="C563" s="172"/>
      <c r="D563" s="172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  <c r="T563" s="172"/>
      <c r="U563" s="172"/>
      <c r="V563" s="172"/>
      <c r="W563" s="172"/>
      <c r="X563" s="172"/>
      <c r="Y563" s="172"/>
      <c r="Z563" s="172"/>
      <c r="AA563" s="172"/>
      <c r="AB563" s="172"/>
      <c r="AC563" s="172"/>
      <c r="AD563" s="172"/>
      <c r="AE563" s="172"/>
      <c r="AF563" s="172"/>
      <c r="AG563" s="172"/>
      <c r="AH563" s="172"/>
      <c r="AI563" s="172"/>
      <c r="AJ563" s="172"/>
      <c r="AK563" s="172"/>
      <c r="AL563" s="172"/>
    </row>
    <row r="564" spans="1:38" s="45" customFormat="1">
      <c r="A564" s="172" t="s">
        <v>1132</v>
      </c>
      <c r="B564" s="172"/>
      <c r="C564" s="172"/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  <c r="AG564" s="172"/>
      <c r="AH564" s="172"/>
      <c r="AI564" s="172"/>
      <c r="AJ564" s="172"/>
      <c r="AK564" s="172"/>
      <c r="AL564" s="172"/>
    </row>
    <row r="565" spans="1:38" s="45" customFormat="1">
      <c r="A565" s="53">
        <v>112</v>
      </c>
      <c r="B565" s="60" t="s">
        <v>322</v>
      </c>
      <c r="C565" s="60">
        <v>1996</v>
      </c>
      <c r="D565" s="60" t="s">
        <v>323</v>
      </c>
      <c r="E565" s="56" t="s">
        <v>20</v>
      </c>
      <c r="F565" s="54">
        <v>1996</v>
      </c>
      <c r="G565" s="54" t="s">
        <v>326</v>
      </c>
      <c r="H565" s="54" t="s">
        <v>159</v>
      </c>
      <c r="I565" s="54"/>
      <c r="J565" s="54"/>
      <c r="K565" s="54"/>
      <c r="L565" s="54" t="s">
        <v>346</v>
      </c>
      <c r="M565" s="54" t="s">
        <v>327</v>
      </c>
      <c r="N565" s="54"/>
      <c r="O565" s="54" t="s">
        <v>347</v>
      </c>
      <c r="P565" s="54"/>
      <c r="Q565" s="54"/>
      <c r="R565" s="54"/>
      <c r="S565" s="54">
        <v>0.98899999999999999</v>
      </c>
      <c r="T565" s="54">
        <v>0.874</v>
      </c>
      <c r="U565" s="54">
        <v>0.96099999999999997</v>
      </c>
      <c r="V565" s="54" t="s">
        <v>351</v>
      </c>
      <c r="W565" s="54" t="s">
        <v>352</v>
      </c>
      <c r="X565" s="54"/>
      <c r="Y565" s="54" t="s">
        <v>353</v>
      </c>
      <c r="Z565" s="172"/>
      <c r="AA565" s="172"/>
      <c r="AB565" s="172"/>
      <c r="AC565" s="172"/>
      <c r="AD565" s="172"/>
      <c r="AE565" s="172"/>
      <c r="AF565" s="172"/>
      <c r="AG565" s="172"/>
      <c r="AH565" s="172"/>
      <c r="AI565" s="172"/>
      <c r="AJ565" s="172"/>
      <c r="AK565" s="172"/>
      <c r="AL565" s="172"/>
    </row>
    <row r="566" spans="1:38" s="45" customFormat="1">
      <c r="A566" s="53">
        <v>112</v>
      </c>
      <c r="B566" s="60" t="s">
        <v>322</v>
      </c>
      <c r="C566" s="60">
        <v>1996</v>
      </c>
      <c r="D566" s="60" t="s">
        <v>323</v>
      </c>
      <c r="E566" s="56" t="s">
        <v>20</v>
      </c>
      <c r="F566" s="54">
        <v>1996</v>
      </c>
      <c r="G566" s="54" t="s">
        <v>326</v>
      </c>
      <c r="H566" s="54" t="s">
        <v>159</v>
      </c>
      <c r="I566" s="54"/>
      <c r="J566" s="66" t="s">
        <v>1051</v>
      </c>
      <c r="K566" s="54" t="s">
        <v>1052</v>
      </c>
      <c r="L566" s="54" t="s">
        <v>380</v>
      </c>
      <c r="M566" s="54" t="s">
        <v>381</v>
      </c>
      <c r="N566" s="54"/>
      <c r="O566" s="54" t="s">
        <v>382</v>
      </c>
      <c r="P566" s="54"/>
      <c r="Q566" s="54"/>
      <c r="R566" s="54"/>
      <c r="S566" s="54"/>
      <c r="T566" s="54"/>
      <c r="U566" s="54">
        <v>0.94199999999999995</v>
      </c>
      <c r="V566" s="54"/>
      <c r="W566" s="54"/>
      <c r="X566" s="54"/>
      <c r="Y566" s="54" t="s">
        <v>384</v>
      </c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</row>
    <row r="567" spans="1:38" s="45" customFormat="1">
      <c r="A567" s="53">
        <v>112</v>
      </c>
      <c r="B567" s="60" t="s">
        <v>322</v>
      </c>
      <c r="C567" s="60">
        <v>1996</v>
      </c>
      <c r="D567" s="60" t="s">
        <v>323</v>
      </c>
      <c r="E567" s="56" t="s">
        <v>20</v>
      </c>
      <c r="F567" s="54">
        <v>1996</v>
      </c>
      <c r="G567" s="54" t="s">
        <v>326</v>
      </c>
      <c r="H567" s="54" t="s">
        <v>159</v>
      </c>
      <c r="I567" s="54"/>
      <c r="J567" s="54"/>
      <c r="K567" s="54"/>
      <c r="L567" s="54" t="s">
        <v>140</v>
      </c>
      <c r="M567" s="54" t="s">
        <v>327</v>
      </c>
      <c r="N567" s="54"/>
      <c r="O567" s="54" t="s">
        <v>328</v>
      </c>
      <c r="P567" s="54"/>
      <c r="Q567" s="54"/>
      <c r="R567" s="54"/>
      <c r="S567" s="54">
        <v>0.99</v>
      </c>
      <c r="T567" s="54">
        <v>0.83499999999999996</v>
      </c>
      <c r="U567" s="54">
        <v>0.95599999999999996</v>
      </c>
      <c r="V567" s="54" t="s">
        <v>332</v>
      </c>
      <c r="W567" s="54" t="s">
        <v>333</v>
      </c>
      <c r="X567" s="54"/>
      <c r="Y567" s="54" t="s">
        <v>334</v>
      </c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</row>
    <row r="568" spans="1:38" s="45" customFormat="1">
      <c r="A568" s="53">
        <v>112</v>
      </c>
      <c r="B568" s="60" t="s">
        <v>322</v>
      </c>
      <c r="C568" s="60">
        <v>1996</v>
      </c>
      <c r="D568" s="60" t="s">
        <v>323</v>
      </c>
      <c r="E568" s="56" t="s">
        <v>20</v>
      </c>
      <c r="F568" s="54">
        <v>1996</v>
      </c>
      <c r="G568" s="54" t="s">
        <v>326</v>
      </c>
      <c r="H568" s="54" t="s">
        <v>159</v>
      </c>
      <c r="I568" s="54"/>
      <c r="J568" s="54"/>
      <c r="K568" s="54"/>
      <c r="L568" s="54" t="s">
        <v>140</v>
      </c>
      <c r="M568" s="54" t="s">
        <v>327</v>
      </c>
      <c r="N568" s="54"/>
      <c r="O568" s="54" t="s">
        <v>337</v>
      </c>
      <c r="P568" s="54"/>
      <c r="Q568" s="54"/>
      <c r="R568" s="54"/>
      <c r="S568" s="54">
        <v>0.99</v>
      </c>
      <c r="T568" s="54">
        <v>0.82299999999999995</v>
      </c>
      <c r="U568" s="54">
        <v>0.96</v>
      </c>
      <c r="V568" s="54" t="s">
        <v>341</v>
      </c>
      <c r="W568" s="54" t="s">
        <v>342</v>
      </c>
      <c r="X568" s="54"/>
      <c r="Y568" s="54" t="s">
        <v>343</v>
      </c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</row>
    <row r="569" spans="1:38" s="45" customFormat="1">
      <c r="A569" s="53">
        <v>112</v>
      </c>
      <c r="B569" s="60" t="s">
        <v>322</v>
      </c>
      <c r="C569" s="60">
        <v>1996</v>
      </c>
      <c r="D569" s="60" t="s">
        <v>323</v>
      </c>
      <c r="E569" s="56" t="s">
        <v>20</v>
      </c>
      <c r="F569" s="54">
        <v>1996</v>
      </c>
      <c r="G569" s="54" t="s">
        <v>326</v>
      </c>
      <c r="H569" s="54" t="s">
        <v>159</v>
      </c>
      <c r="I569" s="54"/>
      <c r="J569" s="66" t="s">
        <v>1051</v>
      </c>
      <c r="K569" s="54" t="s">
        <v>1052</v>
      </c>
      <c r="L569" s="54" t="s">
        <v>376</v>
      </c>
      <c r="M569" s="54" t="s">
        <v>327</v>
      </c>
      <c r="N569" s="54"/>
      <c r="O569" s="54" t="s">
        <v>377</v>
      </c>
      <c r="P569" s="54"/>
      <c r="Q569" s="54"/>
      <c r="R569" s="54"/>
      <c r="S569" s="54"/>
      <c r="T569" s="54"/>
      <c r="U569" s="54">
        <v>0.88900000000000001</v>
      </c>
      <c r="V569" s="54"/>
      <c r="W569" s="54"/>
      <c r="X569" s="54"/>
      <c r="Y569" s="54" t="s">
        <v>379</v>
      </c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</row>
    <row r="570" spans="1:38" s="45" customFormat="1">
      <c r="A570" s="53">
        <v>112</v>
      </c>
      <c r="B570" s="60" t="s">
        <v>322</v>
      </c>
      <c r="C570" s="60">
        <v>1996</v>
      </c>
      <c r="D570" s="60" t="s">
        <v>323</v>
      </c>
      <c r="E570" s="56" t="s">
        <v>20</v>
      </c>
      <c r="F570" s="54">
        <v>1996</v>
      </c>
      <c r="G570" s="54" t="s">
        <v>326</v>
      </c>
      <c r="H570" s="54" t="s">
        <v>159</v>
      </c>
      <c r="I570" s="54"/>
      <c r="J570" s="54"/>
      <c r="K570" s="54"/>
      <c r="L570" s="54" t="s">
        <v>366</v>
      </c>
      <c r="M570" s="54" t="s">
        <v>367</v>
      </c>
      <c r="N570" s="54"/>
      <c r="O570" s="54" t="s">
        <v>390</v>
      </c>
      <c r="P570" s="54"/>
      <c r="Q570" s="54"/>
      <c r="R570" s="54"/>
      <c r="S570" s="54">
        <v>0.98199999999999998</v>
      </c>
      <c r="T570" s="54">
        <v>0.86199999999999999</v>
      </c>
      <c r="U570" s="54">
        <v>0.96899999999999997</v>
      </c>
      <c r="V570" s="54" t="s">
        <v>394</v>
      </c>
      <c r="W570" s="54" t="s">
        <v>395</v>
      </c>
      <c r="X570" s="54"/>
      <c r="Y570" s="54" t="s">
        <v>396</v>
      </c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</row>
    <row r="571" spans="1:38" s="45" customFormat="1">
      <c r="A571" s="53">
        <v>112</v>
      </c>
      <c r="B571" s="60" t="s">
        <v>322</v>
      </c>
      <c r="C571" s="60">
        <v>1996</v>
      </c>
      <c r="D571" s="60" t="s">
        <v>323</v>
      </c>
      <c r="E571" s="56" t="s">
        <v>20</v>
      </c>
      <c r="F571" s="54">
        <v>1996</v>
      </c>
      <c r="G571" s="54" t="s">
        <v>326</v>
      </c>
      <c r="H571" s="54" t="s">
        <v>159</v>
      </c>
      <c r="I571" s="54"/>
      <c r="J571" s="54"/>
      <c r="K571" s="54"/>
      <c r="L571" s="54" t="s">
        <v>366</v>
      </c>
      <c r="M571" s="54" t="s">
        <v>367</v>
      </c>
      <c r="N571" s="54"/>
      <c r="O571" s="54" t="s">
        <v>368</v>
      </c>
      <c r="P571" s="54"/>
      <c r="Q571" s="54"/>
      <c r="R571" s="54"/>
      <c r="S571" s="54">
        <v>0.97799999999999998</v>
      </c>
      <c r="T571" s="54">
        <v>0.879</v>
      </c>
      <c r="U571" s="54">
        <v>0.96</v>
      </c>
      <c r="V571" s="54" t="s">
        <v>372</v>
      </c>
      <c r="W571" s="54" t="s">
        <v>373</v>
      </c>
      <c r="X571" s="54"/>
      <c r="Y571" s="54" t="s">
        <v>374</v>
      </c>
      <c r="Z571" s="172"/>
      <c r="AA571" s="172"/>
      <c r="AB571" s="172"/>
      <c r="AC571" s="172"/>
      <c r="AD571" s="172"/>
      <c r="AE571" s="172"/>
      <c r="AF571" s="172"/>
      <c r="AG571" s="172"/>
      <c r="AH571" s="172"/>
      <c r="AI571" s="172"/>
      <c r="AJ571" s="172"/>
      <c r="AK571" s="172"/>
      <c r="AL571" s="172"/>
    </row>
    <row r="572" spans="1:38">
      <c r="A572" s="53">
        <v>112</v>
      </c>
      <c r="B572" s="60" t="s">
        <v>322</v>
      </c>
      <c r="C572" s="60">
        <v>1996</v>
      </c>
      <c r="D572" s="60" t="s">
        <v>323</v>
      </c>
      <c r="E572" s="56" t="s">
        <v>20</v>
      </c>
      <c r="F572" s="54">
        <v>1996</v>
      </c>
      <c r="G572" s="54" t="s">
        <v>326</v>
      </c>
      <c r="H572" s="54" t="s">
        <v>159</v>
      </c>
      <c r="I572" s="54"/>
      <c r="J572" s="54"/>
      <c r="K572" s="54"/>
      <c r="L572" s="54" t="s">
        <v>356</v>
      </c>
      <c r="M572" s="54" t="s">
        <v>327</v>
      </c>
      <c r="N572" s="54"/>
      <c r="O572" s="54" t="s">
        <v>357</v>
      </c>
      <c r="P572" s="54"/>
      <c r="Q572" s="54"/>
      <c r="R572" s="54"/>
      <c r="S572" s="54">
        <v>0.99399999999999999</v>
      </c>
      <c r="T572" s="54">
        <v>0.85799999999999998</v>
      </c>
      <c r="U572" s="54">
        <v>0.97299999999999998</v>
      </c>
      <c r="V572" s="54" t="s">
        <v>361</v>
      </c>
      <c r="W572" s="54" t="s">
        <v>362</v>
      </c>
      <c r="X572" s="54"/>
      <c r="Y572" s="54" t="s">
        <v>363</v>
      </c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</row>
    <row r="573" spans="1:38">
      <c r="A573" s="53">
        <v>112</v>
      </c>
      <c r="B573" s="60" t="s">
        <v>322</v>
      </c>
      <c r="C573" s="60">
        <v>1996</v>
      </c>
      <c r="D573" s="60" t="s">
        <v>323</v>
      </c>
      <c r="E573" s="56" t="s">
        <v>20</v>
      </c>
      <c r="F573" s="54">
        <v>1996</v>
      </c>
      <c r="G573" s="54" t="s">
        <v>326</v>
      </c>
      <c r="H573" s="54" t="s">
        <v>159</v>
      </c>
      <c r="I573" s="54"/>
      <c r="J573" s="66" t="s">
        <v>1013</v>
      </c>
      <c r="K573" s="54" t="s">
        <v>1053</v>
      </c>
      <c r="L573" s="54" t="s">
        <v>385</v>
      </c>
      <c r="M573" s="54" t="s">
        <v>386</v>
      </c>
      <c r="N573" s="54"/>
      <c r="O573" s="54" t="s">
        <v>387</v>
      </c>
      <c r="P573" s="54"/>
      <c r="Q573" s="54"/>
      <c r="R573" s="54"/>
      <c r="S573" s="54"/>
      <c r="T573" s="54"/>
      <c r="U573" s="54">
        <v>0.91</v>
      </c>
      <c r="V573" s="54"/>
      <c r="W573" s="54"/>
      <c r="X573" s="54"/>
      <c r="Y573" s="54" t="s">
        <v>389</v>
      </c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</row>
    <row r="574" spans="1:38">
      <c r="A574" s="160"/>
      <c r="B574" s="160"/>
      <c r="C574" s="160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</row>
    <row r="575" spans="1:38">
      <c r="A575" s="160"/>
      <c r="B575" s="160"/>
      <c r="C575" s="160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</row>
    <row r="576" spans="1:38">
      <c r="A576" s="160" t="s">
        <v>1158</v>
      </c>
      <c r="B576" s="160"/>
      <c r="C576" s="160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</row>
    <row r="577" spans="1:38">
      <c r="A577" s="53">
        <v>80</v>
      </c>
      <c r="B577" s="54" t="s">
        <v>141</v>
      </c>
      <c r="C577" s="173">
        <v>1991</v>
      </c>
      <c r="D577" s="90" t="s">
        <v>201</v>
      </c>
      <c r="E577" s="56" t="s">
        <v>204</v>
      </c>
      <c r="F577" s="54">
        <v>1989</v>
      </c>
      <c r="G577" s="54" t="s">
        <v>181</v>
      </c>
      <c r="H577" s="54" t="s">
        <v>211</v>
      </c>
      <c r="I577" s="54"/>
      <c r="J577" s="54"/>
      <c r="K577" s="54"/>
      <c r="L577" s="54" t="s">
        <v>215</v>
      </c>
      <c r="M577" s="54"/>
      <c r="N577" s="54"/>
      <c r="O577" s="54" t="s">
        <v>216</v>
      </c>
      <c r="P577" s="54"/>
      <c r="Q577" s="54"/>
      <c r="R577" s="54"/>
      <c r="S577" s="54"/>
      <c r="T577" s="54"/>
      <c r="U577" s="54"/>
      <c r="V577" s="54"/>
      <c r="W577" s="54"/>
      <c r="X577" s="54"/>
      <c r="Y577" s="54">
        <v>90</v>
      </c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</row>
    <row r="578" spans="1:38">
      <c r="A578" s="53">
        <v>80</v>
      </c>
      <c r="B578" s="54" t="s">
        <v>141</v>
      </c>
      <c r="C578" s="173">
        <v>1991</v>
      </c>
      <c r="D578" s="90" t="s">
        <v>201</v>
      </c>
      <c r="E578" s="56" t="s">
        <v>204</v>
      </c>
      <c r="F578" s="54">
        <v>1988</v>
      </c>
      <c r="G578" s="54" t="s">
        <v>217</v>
      </c>
      <c r="H578" s="54" t="s">
        <v>211</v>
      </c>
      <c r="I578" s="54"/>
      <c r="J578" s="54"/>
      <c r="K578" s="54"/>
      <c r="L578" s="54" t="s">
        <v>218</v>
      </c>
      <c r="M578" s="54"/>
      <c r="N578" s="54"/>
      <c r="O578" s="54" t="s">
        <v>219</v>
      </c>
      <c r="P578" s="54"/>
      <c r="Q578" s="54"/>
      <c r="R578" s="54"/>
      <c r="S578" s="54"/>
      <c r="T578" s="54"/>
      <c r="U578" s="54"/>
      <c r="V578" s="54"/>
      <c r="W578" s="54"/>
      <c r="X578" s="54"/>
      <c r="Y578" s="54">
        <v>55</v>
      </c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</row>
    <row r="579" spans="1:38">
      <c r="A579" s="53">
        <v>80</v>
      </c>
      <c r="B579" s="54" t="s">
        <v>141</v>
      </c>
      <c r="C579" s="173">
        <v>1991</v>
      </c>
      <c r="D579" s="90" t="s">
        <v>201</v>
      </c>
      <c r="E579" s="56" t="s">
        <v>204</v>
      </c>
      <c r="F579" s="54">
        <v>1986</v>
      </c>
      <c r="G579" s="54" t="s">
        <v>213</v>
      </c>
      <c r="H579" s="54" t="s">
        <v>146</v>
      </c>
      <c r="I579" s="54"/>
      <c r="J579" s="54"/>
      <c r="K579" s="54"/>
      <c r="L579" s="54" t="s">
        <v>182</v>
      </c>
      <c r="M579" s="54"/>
      <c r="N579" s="54"/>
      <c r="O579" s="54" t="s">
        <v>148</v>
      </c>
      <c r="P579" s="54"/>
      <c r="Q579" s="54"/>
      <c r="R579" s="54"/>
      <c r="S579" s="54"/>
      <c r="T579" s="54"/>
      <c r="U579" s="54"/>
      <c r="V579" s="54"/>
      <c r="W579" s="54"/>
      <c r="X579" s="54"/>
      <c r="Y579" s="54">
        <v>34</v>
      </c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</row>
    <row r="580" spans="1:38">
      <c r="A580" s="53">
        <v>80</v>
      </c>
      <c r="B580" s="54" t="s">
        <v>141</v>
      </c>
      <c r="C580" s="173">
        <v>1991</v>
      </c>
      <c r="D580" s="90" t="s">
        <v>201</v>
      </c>
      <c r="E580" s="56" t="s">
        <v>204</v>
      </c>
      <c r="F580" s="54">
        <v>1986</v>
      </c>
      <c r="G580" s="54" t="s">
        <v>205</v>
      </c>
      <c r="H580" s="54" t="s">
        <v>146</v>
      </c>
      <c r="I580" s="54"/>
      <c r="J580" s="54"/>
      <c r="K580" s="54"/>
      <c r="L580" s="54" t="s">
        <v>174</v>
      </c>
      <c r="M580" s="54"/>
      <c r="N580" s="54"/>
      <c r="O580" s="54" t="s">
        <v>206</v>
      </c>
      <c r="P580" s="54"/>
      <c r="Q580" s="54"/>
      <c r="R580" s="54"/>
      <c r="S580" s="54"/>
      <c r="T580" s="54"/>
      <c r="U580" s="54"/>
      <c r="V580" s="54"/>
      <c r="W580" s="54"/>
      <c r="X580" s="54"/>
      <c r="Y580" s="54">
        <v>74</v>
      </c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</row>
    <row r="581" spans="1:38">
      <c r="A581" s="53">
        <v>80</v>
      </c>
      <c r="B581" s="54" t="s">
        <v>141</v>
      </c>
      <c r="C581" s="173">
        <v>1991</v>
      </c>
      <c r="D581" s="90" t="s">
        <v>201</v>
      </c>
      <c r="E581" s="56" t="s">
        <v>204</v>
      </c>
      <c r="F581" s="54">
        <v>1987</v>
      </c>
      <c r="G581" s="54" t="s">
        <v>205</v>
      </c>
      <c r="H581" s="54" t="s">
        <v>146</v>
      </c>
      <c r="I581" s="54"/>
      <c r="J581" s="54"/>
      <c r="K581" s="54"/>
      <c r="L581" s="54" t="s">
        <v>174</v>
      </c>
      <c r="M581" s="54"/>
      <c r="N581" s="54"/>
      <c r="O581" s="54" t="s">
        <v>150</v>
      </c>
      <c r="P581" s="54"/>
      <c r="Q581" s="54"/>
      <c r="R581" s="54"/>
      <c r="S581" s="54"/>
      <c r="T581" s="54"/>
      <c r="U581" s="54"/>
      <c r="V581" s="54"/>
      <c r="W581" s="54"/>
      <c r="X581" s="54"/>
      <c r="Y581" s="54">
        <v>75</v>
      </c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</row>
    <row r="582" spans="1:38">
      <c r="A582" s="53">
        <v>80</v>
      </c>
      <c r="B582" s="54" t="s">
        <v>141</v>
      </c>
      <c r="C582" s="173">
        <v>1991</v>
      </c>
      <c r="D582" s="90" t="s">
        <v>201</v>
      </c>
      <c r="E582" s="56" t="s">
        <v>207</v>
      </c>
      <c r="F582" s="54">
        <v>1987</v>
      </c>
      <c r="G582" s="54" t="s">
        <v>210</v>
      </c>
      <c r="H582" s="54" t="s">
        <v>95</v>
      </c>
      <c r="I582" s="54"/>
      <c r="J582" s="54"/>
      <c r="K582" s="54"/>
      <c r="L582" s="54" t="s">
        <v>154</v>
      </c>
      <c r="M582" s="54"/>
      <c r="N582" s="54"/>
      <c r="O582" s="54" t="s">
        <v>155</v>
      </c>
      <c r="P582" s="54"/>
      <c r="Q582" s="54"/>
      <c r="R582" s="54"/>
      <c r="S582" s="54"/>
      <c r="T582" s="54"/>
      <c r="U582" s="54"/>
      <c r="V582" s="54"/>
      <c r="W582" s="54"/>
      <c r="X582" s="54"/>
      <c r="Y582" s="54">
        <v>89</v>
      </c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</row>
    <row r="583" spans="1:38">
      <c r="A583" s="53">
        <v>80</v>
      </c>
      <c r="B583" s="54" t="s">
        <v>141</v>
      </c>
      <c r="C583" s="173">
        <v>1991</v>
      </c>
      <c r="D583" s="90" t="s">
        <v>201</v>
      </c>
      <c r="E583" s="56" t="s">
        <v>204</v>
      </c>
      <c r="F583" s="54">
        <v>1989</v>
      </c>
      <c r="G583" s="54" t="s">
        <v>220</v>
      </c>
      <c r="H583" s="54" t="s">
        <v>211</v>
      </c>
      <c r="I583" s="54"/>
      <c r="J583" s="54"/>
      <c r="K583" s="54"/>
      <c r="L583" s="54" t="s">
        <v>221</v>
      </c>
      <c r="M583" s="54"/>
      <c r="N583" s="54"/>
      <c r="O583" s="54" t="s">
        <v>222</v>
      </c>
      <c r="P583" s="54"/>
      <c r="Q583" s="54"/>
      <c r="R583" s="54"/>
      <c r="S583" s="54"/>
      <c r="T583" s="54"/>
      <c r="U583" s="54"/>
      <c r="V583" s="54"/>
      <c r="W583" s="54"/>
      <c r="X583" s="54"/>
      <c r="Y583" s="54">
        <v>83</v>
      </c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</row>
    <row r="584" spans="1:38">
      <c r="A584" s="53">
        <v>80</v>
      </c>
      <c r="B584" s="54" t="s">
        <v>141</v>
      </c>
      <c r="C584" s="173">
        <v>1991</v>
      </c>
      <c r="D584" s="90" t="s">
        <v>201</v>
      </c>
      <c r="E584" s="56" t="s">
        <v>204</v>
      </c>
      <c r="F584" s="54">
        <v>1987</v>
      </c>
      <c r="G584" s="54" t="s">
        <v>181</v>
      </c>
      <c r="H584" s="54" t="s">
        <v>211</v>
      </c>
      <c r="I584" s="54"/>
      <c r="J584" s="54"/>
      <c r="K584" s="54"/>
      <c r="L584" s="54" t="s">
        <v>212</v>
      </c>
      <c r="M584" s="54"/>
      <c r="N584" s="54"/>
      <c r="O584" s="54" t="s">
        <v>152</v>
      </c>
      <c r="P584" s="54"/>
      <c r="Q584" s="54"/>
      <c r="R584" s="54"/>
      <c r="S584" s="54"/>
      <c r="T584" s="54"/>
      <c r="U584" s="54"/>
      <c r="V584" s="54"/>
      <c r="W584" s="54"/>
      <c r="X584" s="54"/>
      <c r="Y584" s="54">
        <v>82</v>
      </c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</row>
    <row r="585" spans="1:38">
      <c r="A585" s="53">
        <v>80</v>
      </c>
      <c r="B585" s="54" t="s">
        <v>141</v>
      </c>
      <c r="C585" s="173">
        <v>1991</v>
      </c>
      <c r="D585" s="90" t="s">
        <v>201</v>
      </c>
      <c r="E585" s="56" t="s">
        <v>204</v>
      </c>
      <c r="F585" s="54">
        <v>1988</v>
      </c>
      <c r="G585" s="54" t="s">
        <v>185</v>
      </c>
      <c r="H585" s="54" t="s">
        <v>211</v>
      </c>
      <c r="I585" s="54"/>
      <c r="J585" s="54"/>
      <c r="K585" s="54"/>
      <c r="L585" s="54" t="s">
        <v>214</v>
      </c>
      <c r="M585" s="54"/>
      <c r="N585" s="54"/>
      <c r="O585" s="54" t="s">
        <v>186</v>
      </c>
      <c r="P585" s="54"/>
      <c r="Q585" s="54"/>
      <c r="R585" s="54"/>
      <c r="S585" s="54"/>
      <c r="T585" s="54"/>
      <c r="U585" s="54"/>
      <c r="V585" s="54"/>
      <c r="W585" s="54"/>
      <c r="X585" s="54"/>
      <c r="Y585" s="54">
        <v>175</v>
      </c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</row>
    <row r="586" spans="1:38">
      <c r="A586" s="53">
        <v>80</v>
      </c>
      <c r="B586" s="54" t="s">
        <v>141</v>
      </c>
      <c r="C586" s="173">
        <v>1991</v>
      </c>
      <c r="D586" s="90" t="s">
        <v>201</v>
      </c>
      <c r="E586" s="56" t="s">
        <v>207</v>
      </c>
      <c r="F586" s="54">
        <v>1987</v>
      </c>
      <c r="G586" s="54" t="s">
        <v>208</v>
      </c>
      <c r="H586" s="54" t="s">
        <v>95</v>
      </c>
      <c r="I586" s="54"/>
      <c r="J586" s="54"/>
      <c r="K586" s="54"/>
      <c r="L586" s="54" t="s">
        <v>209</v>
      </c>
      <c r="M586" s="54"/>
      <c r="N586" s="54"/>
      <c r="O586" s="54" t="s">
        <v>178</v>
      </c>
      <c r="P586" s="54"/>
      <c r="Q586" s="54"/>
      <c r="R586" s="54"/>
      <c r="S586" s="54"/>
      <c r="T586" s="54"/>
      <c r="U586" s="54"/>
      <c r="V586" s="54"/>
      <c r="W586" s="54"/>
      <c r="X586" s="54"/>
      <c r="Y586" s="54">
        <v>106</v>
      </c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</row>
    <row r="587" spans="1:38">
      <c r="A587" s="53">
        <v>88</v>
      </c>
      <c r="B587" s="64" t="s">
        <v>241</v>
      </c>
      <c r="C587" s="96">
        <v>1992</v>
      </c>
      <c r="D587" s="64" t="s">
        <v>242</v>
      </c>
      <c r="E587" s="56" t="s">
        <v>204</v>
      </c>
      <c r="F587" s="54">
        <v>1989</v>
      </c>
      <c r="G587" s="54" t="s">
        <v>217</v>
      </c>
      <c r="H587" s="54" t="s">
        <v>249</v>
      </c>
      <c r="I587" s="160"/>
      <c r="J587" s="58" t="s">
        <v>1049</v>
      </c>
      <c r="K587" s="54" t="s">
        <v>1049</v>
      </c>
      <c r="L587" s="54" t="s">
        <v>259</v>
      </c>
      <c r="M587" s="54"/>
      <c r="N587" s="54"/>
      <c r="O587" s="54" t="s">
        <v>260</v>
      </c>
      <c r="P587" s="54"/>
      <c r="Q587" s="54"/>
      <c r="R587" s="54"/>
      <c r="S587" s="54"/>
      <c r="T587" s="54"/>
      <c r="U587" s="54"/>
      <c r="V587" s="54"/>
      <c r="W587" s="54"/>
      <c r="X587" s="54"/>
      <c r="Y587" s="54">
        <v>79</v>
      </c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</row>
    <row r="588" spans="1:38">
      <c r="A588" s="53">
        <v>88</v>
      </c>
      <c r="B588" s="64" t="s">
        <v>241</v>
      </c>
      <c r="C588" s="96">
        <v>1992</v>
      </c>
      <c r="D588" s="64" t="s">
        <v>242</v>
      </c>
      <c r="E588" s="56" t="s">
        <v>204</v>
      </c>
      <c r="F588" s="54">
        <v>1986</v>
      </c>
      <c r="G588" s="54" t="s">
        <v>213</v>
      </c>
      <c r="H588" s="54" t="s">
        <v>146</v>
      </c>
      <c r="I588" s="160"/>
      <c r="J588" s="58" t="s">
        <v>1034</v>
      </c>
      <c r="K588" s="54" t="s">
        <v>1040</v>
      </c>
      <c r="L588" s="54" t="s">
        <v>245</v>
      </c>
      <c r="M588" s="54"/>
      <c r="N588" s="54"/>
      <c r="O588" s="54" t="s">
        <v>148</v>
      </c>
      <c r="P588" s="54"/>
      <c r="Q588" s="54"/>
      <c r="R588" s="54"/>
      <c r="S588" s="54"/>
      <c r="T588" s="54"/>
      <c r="U588" s="54"/>
      <c r="V588" s="54"/>
      <c r="W588" s="54"/>
      <c r="X588" s="54"/>
      <c r="Y588" s="54">
        <v>44</v>
      </c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</row>
    <row r="589" spans="1:38">
      <c r="A589" s="53">
        <v>88</v>
      </c>
      <c r="B589" s="64" t="s">
        <v>241</v>
      </c>
      <c r="C589" s="96">
        <v>1992</v>
      </c>
      <c r="D589" s="64" t="s">
        <v>242</v>
      </c>
      <c r="E589" s="56" t="s">
        <v>207</v>
      </c>
      <c r="F589" s="54">
        <v>1990</v>
      </c>
      <c r="G589" s="54" t="s">
        <v>263</v>
      </c>
      <c r="H589" s="54" t="s">
        <v>264</v>
      </c>
      <c r="I589" s="54" t="s">
        <v>1014</v>
      </c>
      <c r="J589" s="58" t="s">
        <v>1022</v>
      </c>
      <c r="K589" s="54" t="s">
        <v>1047</v>
      </c>
      <c r="L589" s="54" t="s">
        <v>265</v>
      </c>
      <c r="M589" s="54"/>
      <c r="N589" s="54"/>
      <c r="O589" s="54" t="s">
        <v>266</v>
      </c>
      <c r="P589" s="54"/>
      <c r="Q589" s="54"/>
      <c r="R589" s="54"/>
      <c r="S589" s="54"/>
      <c r="T589" s="54"/>
      <c r="U589" s="54"/>
      <c r="V589" s="54"/>
      <c r="W589" s="54"/>
      <c r="X589" s="54"/>
      <c r="Y589" s="54">
        <v>89</v>
      </c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</row>
    <row r="590" spans="1:38">
      <c r="A590" s="53">
        <v>88</v>
      </c>
      <c r="B590" s="64" t="s">
        <v>241</v>
      </c>
      <c r="C590" s="96">
        <v>1992</v>
      </c>
      <c r="D590" s="64" t="s">
        <v>242</v>
      </c>
      <c r="E590" s="56" t="s">
        <v>204</v>
      </c>
      <c r="F590" s="54">
        <v>1986</v>
      </c>
      <c r="G590" s="54" t="s">
        <v>205</v>
      </c>
      <c r="H590" s="54" t="s">
        <v>146</v>
      </c>
      <c r="I590" s="160"/>
      <c r="J590" s="58" t="s">
        <v>1034</v>
      </c>
      <c r="K590" s="54" t="s">
        <v>1039</v>
      </c>
      <c r="L590" s="54" t="s">
        <v>246</v>
      </c>
      <c r="M590" s="54"/>
      <c r="N590" s="54"/>
      <c r="O590" s="54" t="s">
        <v>247</v>
      </c>
      <c r="P590" s="54"/>
      <c r="Q590" s="54"/>
      <c r="R590" s="54"/>
      <c r="S590" s="54"/>
      <c r="T590" s="54"/>
      <c r="U590" s="54"/>
      <c r="V590" s="54"/>
      <c r="W590" s="54"/>
      <c r="X590" s="54"/>
      <c r="Y590" s="54">
        <v>76</v>
      </c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</row>
    <row r="591" spans="1:38">
      <c r="A591" s="53">
        <v>88</v>
      </c>
      <c r="B591" s="64" t="s">
        <v>241</v>
      </c>
      <c r="C591" s="96">
        <v>1992</v>
      </c>
      <c r="D591" s="64" t="s">
        <v>242</v>
      </c>
      <c r="E591" s="56" t="s">
        <v>204</v>
      </c>
      <c r="F591" s="54">
        <v>1987</v>
      </c>
      <c r="G591" s="54" t="s">
        <v>205</v>
      </c>
      <c r="H591" s="54" t="s">
        <v>146</v>
      </c>
      <c r="I591" s="160"/>
      <c r="J591" s="58" t="s">
        <v>1034</v>
      </c>
      <c r="K591" s="54" t="s">
        <v>1039</v>
      </c>
      <c r="L591" s="54" t="s">
        <v>246</v>
      </c>
      <c r="M591" s="54"/>
      <c r="N591" s="54"/>
      <c r="O591" s="54" t="s">
        <v>248</v>
      </c>
      <c r="P591" s="54"/>
      <c r="Q591" s="54"/>
      <c r="R591" s="54"/>
      <c r="S591" s="54"/>
      <c r="T591" s="54"/>
      <c r="U591" s="54"/>
      <c r="V591" s="54"/>
      <c r="W591" s="54"/>
      <c r="X591" s="54"/>
      <c r="Y591" s="54">
        <v>72</v>
      </c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</row>
    <row r="592" spans="1:38">
      <c r="A592" s="53">
        <v>88</v>
      </c>
      <c r="B592" s="64" t="s">
        <v>241</v>
      </c>
      <c r="C592" s="96">
        <v>1992</v>
      </c>
      <c r="D592" s="64" t="s">
        <v>242</v>
      </c>
      <c r="E592" s="56" t="s">
        <v>207</v>
      </c>
      <c r="F592" s="54">
        <v>1987</v>
      </c>
      <c r="G592" s="54" t="s">
        <v>210</v>
      </c>
      <c r="H592" s="54" t="s">
        <v>95</v>
      </c>
      <c r="I592" s="163" t="s">
        <v>1014</v>
      </c>
      <c r="J592" s="164" t="s">
        <v>1013</v>
      </c>
      <c r="K592" s="163" t="s">
        <v>1042</v>
      </c>
      <c r="L592" s="163" t="s">
        <v>1050</v>
      </c>
      <c r="M592" s="54"/>
      <c r="N592" s="54"/>
      <c r="O592" s="54" t="s">
        <v>155</v>
      </c>
      <c r="P592" s="54"/>
      <c r="Q592" s="54"/>
      <c r="R592" s="54"/>
      <c r="S592" s="54"/>
      <c r="T592" s="54"/>
      <c r="U592" s="54"/>
      <c r="V592" s="54"/>
      <c r="W592" s="54"/>
      <c r="X592" s="54"/>
      <c r="Y592" s="54">
        <v>96</v>
      </c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</row>
    <row r="593" spans="1:38">
      <c r="A593" s="53">
        <v>88</v>
      </c>
      <c r="B593" s="64" t="s">
        <v>241</v>
      </c>
      <c r="C593" s="96">
        <v>1992</v>
      </c>
      <c r="D593" s="64" t="s">
        <v>242</v>
      </c>
      <c r="E593" s="56" t="s">
        <v>204</v>
      </c>
      <c r="F593" s="54">
        <v>1989</v>
      </c>
      <c r="G593" s="54" t="s">
        <v>220</v>
      </c>
      <c r="H593" s="54" t="s">
        <v>261</v>
      </c>
      <c r="I593" s="54"/>
      <c r="J593" s="54"/>
      <c r="K593" s="54"/>
      <c r="L593" s="54" t="s">
        <v>262</v>
      </c>
      <c r="M593" s="54"/>
      <c r="N593" s="54"/>
      <c r="O593" s="54" t="s">
        <v>222</v>
      </c>
      <c r="P593" s="54"/>
      <c r="Q593" s="54"/>
      <c r="R593" s="54"/>
      <c r="S593" s="54"/>
      <c r="T593" s="54"/>
      <c r="U593" s="54"/>
      <c r="V593" s="54"/>
      <c r="W593" s="54"/>
      <c r="X593" s="54"/>
      <c r="Y593" s="54">
        <v>77</v>
      </c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</row>
    <row r="594" spans="1:38">
      <c r="A594" s="53">
        <v>88</v>
      </c>
      <c r="B594" s="64" t="s">
        <v>241</v>
      </c>
      <c r="C594" s="96">
        <v>1992</v>
      </c>
      <c r="D594" s="64" t="s">
        <v>242</v>
      </c>
      <c r="E594" s="56" t="s">
        <v>204</v>
      </c>
      <c r="F594" s="54">
        <v>1987</v>
      </c>
      <c r="G594" s="54" t="s">
        <v>181</v>
      </c>
      <c r="H594" s="54" t="s">
        <v>249</v>
      </c>
      <c r="I594" s="160"/>
      <c r="J594" s="58" t="s">
        <v>1048</v>
      </c>
      <c r="K594" s="54" t="s">
        <v>1048</v>
      </c>
      <c r="L594" s="54" t="s">
        <v>250</v>
      </c>
      <c r="M594" s="54"/>
      <c r="N594" s="54"/>
      <c r="O594" s="54" t="s">
        <v>152</v>
      </c>
      <c r="P594" s="54"/>
      <c r="Q594" s="54"/>
      <c r="R594" s="54"/>
      <c r="S594" s="54"/>
      <c r="T594" s="54"/>
      <c r="U594" s="54"/>
      <c r="V594" s="54"/>
      <c r="W594" s="54"/>
      <c r="X594" s="54"/>
      <c r="Y594" s="54">
        <v>74</v>
      </c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</row>
    <row r="595" spans="1:38">
      <c r="A595" s="53">
        <v>88</v>
      </c>
      <c r="B595" s="64" t="s">
        <v>241</v>
      </c>
      <c r="C595" s="96">
        <v>1992</v>
      </c>
      <c r="D595" s="64" t="s">
        <v>242</v>
      </c>
      <c r="E595" s="56" t="s">
        <v>204</v>
      </c>
      <c r="F595" s="54">
        <v>1988</v>
      </c>
      <c r="G595" s="54" t="s">
        <v>185</v>
      </c>
      <c r="H595" s="54" t="s">
        <v>249</v>
      </c>
      <c r="I595" s="160"/>
      <c r="J595" s="58" t="s">
        <v>1022</v>
      </c>
      <c r="K595" s="54" t="s">
        <v>1041</v>
      </c>
      <c r="L595" s="54" t="s">
        <v>256</v>
      </c>
      <c r="M595" s="54"/>
      <c r="N595" s="54"/>
      <c r="O595" s="54" t="s">
        <v>186</v>
      </c>
      <c r="P595" s="54"/>
      <c r="Q595" s="54"/>
      <c r="R595" s="54"/>
      <c r="S595" s="54"/>
      <c r="T595" s="54"/>
      <c r="U595" s="54"/>
      <c r="V595" s="54"/>
      <c r="W595" s="54"/>
      <c r="X595" s="54"/>
      <c r="Y595" s="54">
        <v>101</v>
      </c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</row>
    <row r="596" spans="1:38">
      <c r="A596" s="53">
        <v>88</v>
      </c>
      <c r="B596" s="64" t="s">
        <v>241</v>
      </c>
      <c r="C596" s="96">
        <v>1992</v>
      </c>
      <c r="D596" s="64" t="s">
        <v>242</v>
      </c>
      <c r="E596" s="56" t="s">
        <v>204</v>
      </c>
      <c r="F596" s="54">
        <v>1988</v>
      </c>
      <c r="G596" s="54" t="s">
        <v>185</v>
      </c>
      <c r="H596" s="54" t="s">
        <v>249</v>
      </c>
      <c r="I596" s="160"/>
      <c r="J596" s="58" t="s">
        <v>1022</v>
      </c>
      <c r="K596" s="54" t="s">
        <v>1041</v>
      </c>
      <c r="L596" s="54" t="s">
        <v>256</v>
      </c>
      <c r="M596" s="54"/>
      <c r="N596" s="54"/>
      <c r="O596" s="54" t="s">
        <v>257</v>
      </c>
      <c r="P596" s="54"/>
      <c r="Q596" s="54"/>
      <c r="R596" s="54"/>
      <c r="S596" s="54"/>
      <c r="T596" s="54"/>
      <c r="U596" s="54"/>
      <c r="V596" s="54"/>
      <c r="W596" s="54"/>
      <c r="X596" s="54"/>
      <c r="Y596" s="54">
        <v>131</v>
      </c>
      <c r="Z596" s="160"/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</row>
    <row r="597" spans="1:38">
      <c r="A597" s="53">
        <v>88</v>
      </c>
      <c r="B597" s="64" t="s">
        <v>241</v>
      </c>
      <c r="C597" s="96">
        <v>1992</v>
      </c>
      <c r="D597" s="64" t="s">
        <v>242</v>
      </c>
      <c r="E597" s="56" t="s">
        <v>204</v>
      </c>
      <c r="F597" s="54">
        <v>1989</v>
      </c>
      <c r="G597" s="54" t="s">
        <v>181</v>
      </c>
      <c r="H597" s="54" t="s">
        <v>249</v>
      </c>
      <c r="I597" s="160"/>
      <c r="J597" s="58" t="s">
        <v>1049</v>
      </c>
      <c r="K597" s="54" t="s">
        <v>1049</v>
      </c>
      <c r="L597" s="54" t="s">
        <v>258</v>
      </c>
      <c r="M597" s="54"/>
      <c r="N597" s="54"/>
      <c r="O597" s="54" t="s">
        <v>216</v>
      </c>
      <c r="P597" s="54"/>
      <c r="Q597" s="54"/>
      <c r="R597" s="54"/>
      <c r="S597" s="54"/>
      <c r="T597" s="54"/>
      <c r="U597" s="54"/>
      <c r="V597" s="54"/>
      <c r="W597" s="54"/>
      <c r="X597" s="54"/>
      <c r="Y597" s="54">
        <v>158</v>
      </c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</row>
    <row r="598" spans="1:38">
      <c r="A598" s="53">
        <v>88</v>
      </c>
      <c r="B598" s="64" t="s">
        <v>241</v>
      </c>
      <c r="C598" s="96">
        <v>1992</v>
      </c>
      <c r="D598" s="64" t="s">
        <v>242</v>
      </c>
      <c r="E598" s="56" t="s">
        <v>207</v>
      </c>
      <c r="F598" s="54">
        <v>1987</v>
      </c>
      <c r="G598" s="54" t="s">
        <v>208</v>
      </c>
      <c r="H598" s="54" t="s">
        <v>95</v>
      </c>
      <c r="I598" s="54" t="s">
        <v>1014</v>
      </c>
      <c r="J598" s="58" t="s">
        <v>1013</v>
      </c>
      <c r="K598" s="54" t="s">
        <v>1042</v>
      </c>
      <c r="L598" s="54" t="s">
        <v>251</v>
      </c>
      <c r="M598" s="54"/>
      <c r="N598" s="54"/>
      <c r="O598" s="54" t="s">
        <v>252</v>
      </c>
      <c r="P598" s="54"/>
      <c r="Q598" s="54"/>
      <c r="R598" s="54"/>
      <c r="S598" s="54"/>
      <c r="T598" s="54"/>
      <c r="U598" s="54"/>
      <c r="V598" s="54"/>
      <c r="W598" s="54"/>
      <c r="X598" s="54"/>
      <c r="Y598" s="54">
        <v>112</v>
      </c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</row>
    <row r="599" spans="1:38">
      <c r="A599" s="53">
        <v>88</v>
      </c>
      <c r="B599" s="64" t="s">
        <v>241</v>
      </c>
      <c r="C599" s="96">
        <v>1992</v>
      </c>
      <c r="D599" s="64" t="s">
        <v>242</v>
      </c>
      <c r="E599" s="56" t="s">
        <v>204</v>
      </c>
      <c r="F599" s="54">
        <v>1987</v>
      </c>
      <c r="G599" s="54" t="s">
        <v>254</v>
      </c>
      <c r="H599" s="54" t="s">
        <v>159</v>
      </c>
      <c r="I599" s="160"/>
      <c r="J599" s="58" t="s">
        <v>1013</v>
      </c>
      <c r="K599" s="54" t="s">
        <v>1042</v>
      </c>
      <c r="L599" s="54" t="s">
        <v>255</v>
      </c>
      <c r="M599" s="54"/>
      <c r="N599" s="54"/>
      <c r="O599" s="54" t="s">
        <v>160</v>
      </c>
      <c r="P599" s="54"/>
      <c r="Q599" s="54"/>
      <c r="R599" s="54"/>
      <c r="S599" s="54"/>
      <c r="T599" s="54"/>
      <c r="U599" s="54"/>
      <c r="V599" s="54"/>
      <c r="W599" s="54"/>
      <c r="X599" s="54"/>
      <c r="Y599" s="54">
        <v>120</v>
      </c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</row>
    <row r="600" spans="1:38">
      <c r="A600" s="53">
        <v>139</v>
      </c>
      <c r="B600" s="65" t="s">
        <v>141</v>
      </c>
      <c r="C600" s="65">
        <v>1990</v>
      </c>
      <c r="D600" s="55" t="s">
        <v>500</v>
      </c>
      <c r="E600" s="56" t="s">
        <v>172</v>
      </c>
      <c r="F600" s="69">
        <v>32730</v>
      </c>
      <c r="G600" s="54" t="s">
        <v>181</v>
      </c>
      <c r="H600" s="54" t="s">
        <v>151</v>
      </c>
      <c r="I600" s="54"/>
      <c r="J600" s="54"/>
      <c r="K600" s="54"/>
      <c r="L600" s="54" t="s">
        <v>515</v>
      </c>
      <c r="M600" s="54"/>
      <c r="N600" s="54"/>
      <c r="O600" s="54" t="s">
        <v>516</v>
      </c>
      <c r="P600" s="54"/>
      <c r="Q600" s="54"/>
      <c r="R600" s="54"/>
      <c r="S600" s="54"/>
      <c r="T600" s="54"/>
      <c r="U600" s="54"/>
      <c r="V600" s="54"/>
      <c r="W600" s="54"/>
      <c r="X600" s="54"/>
      <c r="Y600" s="54">
        <v>90</v>
      </c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</row>
    <row r="601" spans="1:38">
      <c r="A601" s="53">
        <v>139</v>
      </c>
      <c r="B601" s="65" t="s">
        <v>141</v>
      </c>
      <c r="C601" s="65">
        <v>1990</v>
      </c>
      <c r="D601" s="55" t="s">
        <v>500</v>
      </c>
      <c r="E601" s="56" t="s">
        <v>172</v>
      </c>
      <c r="F601" s="77">
        <v>32732</v>
      </c>
      <c r="G601" s="78" t="s">
        <v>217</v>
      </c>
      <c r="H601" s="78" t="s">
        <v>151</v>
      </c>
      <c r="I601" s="78"/>
      <c r="J601" s="78"/>
      <c r="K601" s="78"/>
      <c r="L601" s="79" t="s">
        <v>517</v>
      </c>
      <c r="M601" s="79"/>
      <c r="N601" s="79"/>
      <c r="O601" s="79" t="s">
        <v>518</v>
      </c>
      <c r="P601" s="79"/>
      <c r="Q601" s="79"/>
      <c r="R601" s="54"/>
      <c r="S601" s="54"/>
      <c r="T601" s="54"/>
      <c r="U601" s="94"/>
      <c r="V601" s="165"/>
      <c r="W601" s="165"/>
      <c r="X601" s="165"/>
      <c r="Y601" s="165">
        <v>55</v>
      </c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</row>
    <row r="602" spans="1:38">
      <c r="A602" s="53">
        <v>139</v>
      </c>
      <c r="B602" s="65" t="s">
        <v>141</v>
      </c>
      <c r="C602" s="65">
        <v>1990</v>
      </c>
      <c r="D602" s="55" t="s">
        <v>500</v>
      </c>
      <c r="E602" s="56" t="s">
        <v>172</v>
      </c>
      <c r="F602" s="69">
        <v>32776</v>
      </c>
      <c r="G602" s="54" t="s">
        <v>220</v>
      </c>
      <c r="H602" s="54" t="s">
        <v>519</v>
      </c>
      <c r="I602" s="54"/>
      <c r="J602" s="54"/>
      <c r="K602" s="54"/>
      <c r="L602" s="54" t="s">
        <v>520</v>
      </c>
      <c r="M602" s="54"/>
      <c r="N602" s="54"/>
      <c r="O602" s="54" t="s">
        <v>521</v>
      </c>
      <c r="P602" s="54"/>
      <c r="Q602" s="54"/>
      <c r="R602" s="54"/>
      <c r="S602" s="54"/>
      <c r="T602" s="54"/>
      <c r="U602" s="54"/>
      <c r="V602" s="54"/>
      <c r="W602" s="54"/>
      <c r="X602" s="54"/>
      <c r="Y602" s="54">
        <v>83</v>
      </c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</row>
    <row r="603" spans="1:38">
      <c r="A603" s="53">
        <v>139</v>
      </c>
      <c r="B603" s="65" t="s">
        <v>141</v>
      </c>
      <c r="C603" s="65">
        <v>1990</v>
      </c>
      <c r="D603" s="55" t="s">
        <v>500</v>
      </c>
      <c r="E603" s="56" t="s">
        <v>172</v>
      </c>
      <c r="F603" s="69">
        <v>32017</v>
      </c>
      <c r="G603" s="54" t="s">
        <v>181</v>
      </c>
      <c r="H603" s="54" t="s">
        <v>151</v>
      </c>
      <c r="I603" s="54"/>
      <c r="J603" s="54"/>
      <c r="K603" s="54"/>
      <c r="L603" s="54" t="s">
        <v>506</v>
      </c>
      <c r="M603" s="54"/>
      <c r="N603" s="54"/>
      <c r="O603" s="54" t="s">
        <v>507</v>
      </c>
      <c r="P603" s="54"/>
      <c r="Q603" s="54"/>
      <c r="R603" s="54"/>
      <c r="S603" s="54"/>
      <c r="T603" s="54"/>
      <c r="U603" s="54"/>
      <c r="V603" s="54"/>
      <c r="W603" s="54"/>
      <c r="X603" s="54"/>
      <c r="Y603" s="54">
        <v>82</v>
      </c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</row>
    <row r="604" spans="1:38">
      <c r="A604" s="53">
        <v>139</v>
      </c>
      <c r="B604" s="65" t="s">
        <v>141</v>
      </c>
      <c r="C604" s="65">
        <v>1990</v>
      </c>
      <c r="D604" s="55" t="s">
        <v>500</v>
      </c>
      <c r="E604" s="56" t="s">
        <v>172</v>
      </c>
      <c r="F604" s="54" t="s">
        <v>511</v>
      </c>
      <c r="G604" s="54" t="s">
        <v>210</v>
      </c>
      <c r="H604" s="54" t="s">
        <v>95</v>
      </c>
      <c r="I604" s="54"/>
      <c r="J604" s="54"/>
      <c r="K604" s="54"/>
      <c r="L604" s="54" t="s">
        <v>512</v>
      </c>
      <c r="M604" s="54"/>
      <c r="N604" s="54"/>
      <c r="O604" s="54" t="s">
        <v>513</v>
      </c>
      <c r="P604" s="54"/>
      <c r="Q604" s="54"/>
      <c r="R604" s="54"/>
      <c r="S604" s="54"/>
      <c r="T604" s="54"/>
      <c r="U604" s="54"/>
      <c r="V604" s="54"/>
      <c r="W604" s="54"/>
      <c r="X604" s="54"/>
      <c r="Y604" s="54">
        <v>89</v>
      </c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</row>
    <row r="605" spans="1:38">
      <c r="A605" s="53">
        <v>139</v>
      </c>
      <c r="B605" s="65" t="s">
        <v>141</v>
      </c>
      <c r="C605" s="65">
        <v>1990</v>
      </c>
      <c r="D605" s="55" t="s">
        <v>500</v>
      </c>
      <c r="E605" s="56" t="s">
        <v>172</v>
      </c>
      <c r="F605" s="69">
        <v>32367</v>
      </c>
      <c r="G605" s="54" t="s">
        <v>185</v>
      </c>
      <c r="H605" s="54" t="s">
        <v>151</v>
      </c>
      <c r="I605" s="54"/>
      <c r="J605" s="54"/>
      <c r="K605" s="54"/>
      <c r="L605" s="54" t="s">
        <v>184</v>
      </c>
      <c r="M605" s="54"/>
      <c r="N605" s="54"/>
      <c r="O605" s="54" t="s">
        <v>514</v>
      </c>
      <c r="P605" s="54"/>
      <c r="Q605" s="54"/>
      <c r="R605" s="54"/>
      <c r="S605" s="54"/>
      <c r="T605" s="54"/>
      <c r="U605" s="54"/>
      <c r="V605" s="54"/>
      <c r="W605" s="54"/>
      <c r="X605" s="54"/>
      <c r="Y605" s="54">
        <v>175</v>
      </c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</row>
    <row r="606" spans="1:38">
      <c r="A606" s="53">
        <v>139</v>
      </c>
      <c r="B606" s="65" t="s">
        <v>141</v>
      </c>
      <c r="C606" s="65">
        <v>1990</v>
      </c>
      <c r="D606" s="55" t="s">
        <v>500</v>
      </c>
      <c r="E606" s="56" t="s">
        <v>172</v>
      </c>
      <c r="F606" s="69">
        <v>31749</v>
      </c>
      <c r="G606" s="54" t="s">
        <v>213</v>
      </c>
      <c r="H606" s="54" t="s">
        <v>146</v>
      </c>
      <c r="I606" s="54"/>
      <c r="J606" s="54"/>
      <c r="K606" s="54"/>
      <c r="L606" s="54" t="s">
        <v>147</v>
      </c>
      <c r="M606" s="54"/>
      <c r="N606" s="54"/>
      <c r="O606" s="54" t="s">
        <v>502</v>
      </c>
      <c r="P606" s="54"/>
      <c r="Q606" s="54"/>
      <c r="R606" s="54"/>
      <c r="S606" s="54"/>
      <c r="T606" s="54"/>
      <c r="U606" s="54"/>
      <c r="V606" s="54"/>
      <c r="W606" s="54"/>
      <c r="X606" s="54"/>
      <c r="Y606" s="54">
        <v>34</v>
      </c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</row>
    <row r="607" spans="1:38">
      <c r="A607" s="53">
        <v>139</v>
      </c>
      <c r="B607" s="65" t="s">
        <v>141</v>
      </c>
      <c r="C607" s="65">
        <v>1990</v>
      </c>
      <c r="D607" s="55" t="s">
        <v>500</v>
      </c>
      <c r="E607" s="56" t="s">
        <v>172</v>
      </c>
      <c r="F607" s="69">
        <v>31758</v>
      </c>
      <c r="G607" s="54" t="s">
        <v>503</v>
      </c>
      <c r="H607" s="54" t="s">
        <v>146</v>
      </c>
      <c r="I607" s="54"/>
      <c r="J607" s="54"/>
      <c r="K607" s="54"/>
      <c r="L607" s="54" t="s">
        <v>149</v>
      </c>
      <c r="M607" s="54"/>
      <c r="N607" s="54"/>
      <c r="O607" s="54" t="s">
        <v>504</v>
      </c>
      <c r="P607" s="54"/>
      <c r="Q607" s="54"/>
      <c r="R607" s="54"/>
      <c r="S607" s="54"/>
      <c r="T607" s="54"/>
      <c r="U607" s="54"/>
      <c r="V607" s="54"/>
      <c r="W607" s="54"/>
      <c r="X607" s="54"/>
      <c r="Y607" s="54">
        <v>74</v>
      </c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</row>
    <row r="608" spans="1:38">
      <c r="A608" s="53">
        <v>139</v>
      </c>
      <c r="B608" s="65" t="s">
        <v>141</v>
      </c>
      <c r="C608" s="65">
        <v>1990</v>
      </c>
      <c r="D608" s="55" t="s">
        <v>500</v>
      </c>
      <c r="E608" s="56" t="s">
        <v>172</v>
      </c>
      <c r="F608" s="77">
        <v>31950</v>
      </c>
      <c r="G608" s="78" t="s">
        <v>503</v>
      </c>
      <c r="H608" s="78" t="s">
        <v>146</v>
      </c>
      <c r="I608" s="78"/>
      <c r="J608" s="78"/>
      <c r="K608" s="78"/>
      <c r="L608" s="79" t="s">
        <v>149</v>
      </c>
      <c r="M608" s="79"/>
      <c r="N608" s="79"/>
      <c r="O608" s="79" t="s">
        <v>505</v>
      </c>
      <c r="P608" s="79"/>
      <c r="Q608" s="79"/>
      <c r="R608" s="54"/>
      <c r="S608" s="54"/>
      <c r="T608" s="54"/>
      <c r="U608" s="94"/>
      <c r="V608" s="165"/>
      <c r="W608" s="165"/>
      <c r="X608" s="165"/>
      <c r="Y608" s="165">
        <v>75</v>
      </c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</row>
    <row r="609" spans="1:38">
      <c r="A609" s="53">
        <v>139</v>
      </c>
      <c r="B609" s="65" t="s">
        <v>141</v>
      </c>
      <c r="C609" s="65">
        <v>1990</v>
      </c>
      <c r="D609" s="55" t="s">
        <v>500</v>
      </c>
      <c r="E609" s="56" t="s">
        <v>172</v>
      </c>
      <c r="F609" s="69">
        <v>32022</v>
      </c>
      <c r="G609" s="54" t="s">
        <v>508</v>
      </c>
      <c r="H609" s="54" t="s">
        <v>95</v>
      </c>
      <c r="I609" s="54"/>
      <c r="J609" s="54"/>
      <c r="K609" s="54"/>
      <c r="L609" s="54" t="s">
        <v>509</v>
      </c>
      <c r="M609" s="54"/>
      <c r="N609" s="54"/>
      <c r="O609" s="54" t="s">
        <v>510</v>
      </c>
      <c r="P609" s="54"/>
      <c r="Q609" s="54"/>
      <c r="R609" s="54"/>
      <c r="S609" s="54"/>
      <c r="T609" s="54"/>
      <c r="U609" s="54"/>
      <c r="V609" s="54"/>
      <c r="W609" s="54"/>
      <c r="X609" s="54"/>
      <c r="Y609" s="54">
        <v>106</v>
      </c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</row>
    <row r="610" spans="1:38">
      <c r="A610" s="54" t="s">
        <v>1225</v>
      </c>
      <c r="B610" s="65"/>
      <c r="C610" s="65"/>
      <c r="D610" s="55"/>
      <c r="E610" s="56"/>
      <c r="F610" s="69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</row>
    <row r="611" spans="1:38" s="45" customFormat="1">
      <c r="A611" s="53">
        <v>63</v>
      </c>
      <c r="B611" s="60" t="s">
        <v>168</v>
      </c>
      <c r="C611" s="60">
        <v>1989</v>
      </c>
      <c r="D611" s="60" t="s">
        <v>169</v>
      </c>
      <c r="E611" s="90" t="s">
        <v>172</v>
      </c>
      <c r="F611" s="77">
        <v>32017</v>
      </c>
      <c r="G611" s="54" t="s">
        <v>181</v>
      </c>
      <c r="H611" s="78" t="s">
        <v>1135</v>
      </c>
      <c r="I611" s="78"/>
      <c r="J611" s="66" t="s">
        <v>1034</v>
      </c>
      <c r="K611" s="78" t="s">
        <v>1040</v>
      </c>
      <c r="L611" s="79" t="s">
        <v>182</v>
      </c>
      <c r="M611" s="79"/>
      <c r="N611" s="79"/>
      <c r="O611" s="79" t="s">
        <v>152</v>
      </c>
      <c r="P611" s="79"/>
      <c r="Q611" s="79"/>
      <c r="R611" s="54"/>
      <c r="S611" s="54"/>
      <c r="T611" s="54"/>
      <c r="U611" s="79"/>
      <c r="V611" s="165"/>
      <c r="W611" s="165"/>
      <c r="X611" s="66" t="str">
        <f>IF(R611&lt;&gt;0,IF(R611&gt;1,R611/100,R611),IF(U611&lt;&gt;0,IF(U611&gt;1,U611/100,U611),""))</f>
        <v/>
      </c>
      <c r="Y611" s="82">
        <v>82</v>
      </c>
      <c r="Z611" s="192" t="str">
        <f>IF(X611&lt;&gt;"",IF(X611&lt;0.9,"S","F"),"")</f>
        <v/>
      </c>
      <c r="AA611" s="66"/>
      <c r="AB611" s="66"/>
      <c r="AC611" s="66"/>
      <c r="AD611" s="172"/>
      <c r="AE611" s="172"/>
      <c r="AF611" s="172"/>
      <c r="AG611" s="172"/>
      <c r="AH611" s="172"/>
      <c r="AI611" s="172"/>
      <c r="AJ611" s="172"/>
      <c r="AK611" s="172"/>
      <c r="AL611" s="172"/>
    </row>
    <row r="612" spans="1:38" s="45" customFormat="1">
      <c r="A612" s="53"/>
      <c r="B612" s="60"/>
      <c r="C612" s="60"/>
      <c r="D612" s="60"/>
      <c r="E612" s="90"/>
      <c r="F612" s="77"/>
      <c r="G612" s="54"/>
      <c r="H612" s="78"/>
      <c r="I612" s="78"/>
      <c r="J612" s="66"/>
      <c r="K612" s="78"/>
      <c r="L612" s="79"/>
      <c r="M612" s="79"/>
      <c r="N612" s="79"/>
      <c r="O612" s="79"/>
      <c r="P612" s="79"/>
      <c r="Q612" s="79"/>
      <c r="R612" s="54"/>
      <c r="S612" s="54"/>
      <c r="T612" s="54"/>
      <c r="U612" s="79"/>
      <c r="V612" s="165"/>
      <c r="W612" s="165"/>
      <c r="X612" s="66"/>
      <c r="Y612" s="82"/>
      <c r="Z612" s="192"/>
      <c r="AA612" s="66"/>
      <c r="AB612" s="66"/>
      <c r="AC612" s="66"/>
      <c r="AD612" s="172"/>
      <c r="AE612" s="172"/>
      <c r="AF612" s="172"/>
      <c r="AG612" s="172"/>
      <c r="AH612" s="172"/>
      <c r="AI612" s="172"/>
      <c r="AJ612" s="172"/>
      <c r="AK612" s="172"/>
      <c r="AL612" s="172"/>
    </row>
    <row r="613" spans="1:38">
      <c r="A613" s="160" t="s">
        <v>1024</v>
      </c>
      <c r="B613" s="160"/>
      <c r="C613" s="160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</row>
    <row r="614" spans="1:38">
      <c r="A614" s="53">
        <v>91</v>
      </c>
      <c r="B614" s="60" t="s">
        <v>45</v>
      </c>
      <c r="C614" s="54">
        <v>1992</v>
      </c>
      <c r="D614" s="83" t="s">
        <v>267</v>
      </c>
      <c r="E614" s="56" t="s">
        <v>270</v>
      </c>
      <c r="F614" s="54">
        <v>1992</v>
      </c>
      <c r="G614" s="54"/>
      <c r="H614" s="54"/>
      <c r="I614" s="54"/>
      <c r="J614" s="54"/>
      <c r="K614" s="54"/>
      <c r="L614" s="54"/>
      <c r="M614" s="54"/>
      <c r="N614" s="54"/>
      <c r="O614" s="54" t="s">
        <v>274</v>
      </c>
      <c r="P614" s="54"/>
      <c r="Q614" s="54"/>
      <c r="R614" s="54"/>
      <c r="S614" s="54"/>
      <c r="T614" s="54"/>
      <c r="U614" s="54">
        <v>0.9</v>
      </c>
      <c r="V614" s="54"/>
      <c r="W614" s="54"/>
      <c r="X614" s="54"/>
      <c r="Y614" s="54">
        <v>55.6</v>
      </c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</row>
    <row r="615" spans="1:38">
      <c r="A615" s="53">
        <v>91</v>
      </c>
      <c r="B615" s="60" t="s">
        <v>45</v>
      </c>
      <c r="C615" s="54">
        <v>1992</v>
      </c>
      <c r="D615" s="83" t="s">
        <v>267</v>
      </c>
      <c r="E615" s="56" t="s">
        <v>270</v>
      </c>
      <c r="F615" s="54">
        <v>1992</v>
      </c>
      <c r="G615" s="54"/>
      <c r="H615" s="54"/>
      <c r="I615" s="54"/>
      <c r="J615" s="54"/>
      <c r="K615" s="54"/>
      <c r="L615" s="54"/>
      <c r="M615" s="54"/>
      <c r="N615" s="54"/>
      <c r="O615" s="54" t="s">
        <v>271</v>
      </c>
      <c r="P615" s="54"/>
      <c r="Q615" s="54"/>
      <c r="R615" s="54"/>
      <c r="S615" s="54"/>
      <c r="T615" s="54"/>
      <c r="U615" s="54">
        <v>0.8</v>
      </c>
      <c r="V615" s="54"/>
      <c r="W615" s="54"/>
      <c r="X615" s="54"/>
      <c r="Y615" s="54">
        <v>125</v>
      </c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</row>
    <row r="616" spans="1:38">
      <c r="A616" s="53">
        <v>91</v>
      </c>
      <c r="B616" s="60" t="s">
        <v>45</v>
      </c>
      <c r="C616" s="54">
        <v>1992</v>
      </c>
      <c r="D616" s="83" t="s">
        <v>267</v>
      </c>
      <c r="E616" s="56" t="s">
        <v>270</v>
      </c>
      <c r="F616" s="54">
        <v>1992</v>
      </c>
      <c r="G616" s="54"/>
      <c r="H616" s="54"/>
      <c r="I616" s="54"/>
      <c r="J616" s="54"/>
      <c r="K616" s="54"/>
      <c r="L616" s="54"/>
      <c r="M616" s="54"/>
      <c r="N616" s="54"/>
      <c r="O616" s="54" t="s">
        <v>272</v>
      </c>
      <c r="P616" s="54"/>
      <c r="Q616" s="54"/>
      <c r="R616" s="54"/>
      <c r="S616" s="54"/>
      <c r="T616" s="54"/>
      <c r="U616" s="54">
        <v>0.84</v>
      </c>
      <c r="V616" s="54"/>
      <c r="W616" s="54"/>
      <c r="X616" s="54"/>
      <c r="Y616" s="54">
        <v>95.3</v>
      </c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</row>
    <row r="617" spans="1:38">
      <c r="A617" s="53">
        <v>91</v>
      </c>
      <c r="B617" s="60" t="s">
        <v>45</v>
      </c>
      <c r="C617" s="54">
        <v>1992</v>
      </c>
      <c r="D617" s="83" t="s">
        <v>267</v>
      </c>
      <c r="E617" s="56" t="s">
        <v>270</v>
      </c>
      <c r="F617" s="54">
        <v>1992</v>
      </c>
      <c r="G617" s="54"/>
      <c r="H617" s="54"/>
      <c r="I617" s="54"/>
      <c r="J617" s="54"/>
      <c r="K617" s="54"/>
      <c r="L617" s="54"/>
      <c r="M617" s="54"/>
      <c r="N617" s="54"/>
      <c r="O617" s="54" t="s">
        <v>273</v>
      </c>
      <c r="P617" s="54"/>
      <c r="Q617" s="54"/>
      <c r="R617" s="54"/>
      <c r="S617" s="54"/>
      <c r="T617" s="54"/>
      <c r="U617" s="54">
        <v>0.86</v>
      </c>
      <c r="V617" s="54"/>
      <c r="W617" s="54"/>
      <c r="X617" s="54"/>
      <c r="Y617" s="54">
        <v>81.400000000000006</v>
      </c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</row>
    <row r="618" spans="1:38">
      <c r="A618" s="53">
        <v>91</v>
      </c>
      <c r="B618" s="60" t="s">
        <v>45</v>
      </c>
      <c r="C618" s="54">
        <v>1992</v>
      </c>
      <c r="D618" s="83" t="s">
        <v>267</v>
      </c>
      <c r="E618" s="56" t="s">
        <v>270</v>
      </c>
      <c r="F618" s="54">
        <v>1992</v>
      </c>
      <c r="G618" s="54"/>
      <c r="H618" s="54"/>
      <c r="I618" s="54"/>
      <c r="J618" s="54"/>
      <c r="K618" s="54"/>
      <c r="L618" s="54"/>
      <c r="M618" s="54"/>
      <c r="N618" s="54"/>
      <c r="O618" s="54" t="s">
        <v>275</v>
      </c>
      <c r="P618" s="54"/>
      <c r="Q618" s="54"/>
      <c r="R618" s="54"/>
      <c r="S618" s="54"/>
      <c r="T618" s="54"/>
      <c r="U618" s="54">
        <v>0.94</v>
      </c>
      <c r="V618" s="54"/>
      <c r="W618" s="54"/>
      <c r="X618" s="54"/>
      <c r="Y618" s="54">
        <v>31.9</v>
      </c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</row>
    <row r="619" spans="1:38">
      <c r="A619" s="160"/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</row>
    <row r="620" spans="1:38">
      <c r="A620" s="160" t="s">
        <v>1159</v>
      </c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</row>
    <row r="621" spans="1:38">
      <c r="A621" s="53">
        <v>121</v>
      </c>
      <c r="B621" s="65" t="s">
        <v>427</v>
      </c>
      <c r="C621" s="65">
        <v>2002</v>
      </c>
      <c r="D621" s="65" t="s">
        <v>428</v>
      </c>
      <c r="E621" s="56" t="s">
        <v>430</v>
      </c>
      <c r="F621" s="54">
        <v>2002</v>
      </c>
      <c r="G621" s="54" t="s">
        <v>457</v>
      </c>
      <c r="H621" s="54"/>
      <c r="I621" s="54"/>
      <c r="J621" s="54"/>
      <c r="K621" s="54"/>
      <c r="L621" s="54" t="s">
        <v>453</v>
      </c>
      <c r="M621" s="54" t="s">
        <v>458</v>
      </c>
      <c r="N621" s="54" t="s">
        <v>459</v>
      </c>
      <c r="O621" s="54" t="s">
        <v>460</v>
      </c>
      <c r="P621" s="54"/>
      <c r="Q621" s="54"/>
      <c r="R621" s="54"/>
      <c r="S621" s="54"/>
      <c r="T621" s="54"/>
      <c r="U621" s="54"/>
      <c r="V621" s="54"/>
      <c r="W621" s="54"/>
      <c r="X621" s="54"/>
      <c r="Y621" s="54">
        <v>158</v>
      </c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</row>
    <row r="622" spans="1:38">
      <c r="A622" s="53">
        <v>174</v>
      </c>
      <c r="B622" s="54" t="s">
        <v>697</v>
      </c>
      <c r="C622" s="54">
        <v>2009</v>
      </c>
      <c r="D622" s="55" t="s">
        <v>698</v>
      </c>
      <c r="E622" s="56" t="s">
        <v>20</v>
      </c>
      <c r="F622" s="57" t="s">
        <v>701</v>
      </c>
      <c r="G622" s="54" t="s">
        <v>749</v>
      </c>
      <c r="H622" s="54"/>
      <c r="I622" s="54"/>
      <c r="J622" s="160" t="s">
        <v>1093</v>
      </c>
      <c r="K622" s="169" t="s">
        <v>1097</v>
      </c>
      <c r="L622" s="54" t="s">
        <v>750</v>
      </c>
      <c r="M622" s="59"/>
      <c r="N622" s="59"/>
      <c r="O622" s="54" t="s">
        <v>751</v>
      </c>
      <c r="P622" s="60"/>
      <c r="Q622" s="60"/>
      <c r="R622" s="54"/>
      <c r="S622" s="54"/>
      <c r="T622" s="54"/>
      <c r="U622" s="61">
        <v>0.94299999999999995</v>
      </c>
      <c r="V622" s="61"/>
      <c r="W622" s="61"/>
      <c r="X622" s="61"/>
      <c r="Y622" s="161">
        <v>60</v>
      </c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</row>
    <row r="623" spans="1:38">
      <c r="A623" s="53">
        <v>174</v>
      </c>
      <c r="B623" s="54" t="s">
        <v>697</v>
      </c>
      <c r="C623" s="54">
        <v>2009</v>
      </c>
      <c r="D623" s="55" t="s">
        <v>698</v>
      </c>
      <c r="E623" s="56" t="s">
        <v>20</v>
      </c>
      <c r="F623" s="57" t="s">
        <v>701</v>
      </c>
      <c r="G623" s="54" t="s">
        <v>733</v>
      </c>
      <c r="H623" s="54"/>
      <c r="I623" s="54"/>
      <c r="J623" s="160" t="s">
        <v>1093</v>
      </c>
      <c r="K623" s="54" t="s">
        <v>1100</v>
      </c>
      <c r="L623" s="54" t="s">
        <v>734</v>
      </c>
      <c r="M623" s="59"/>
      <c r="N623" s="59"/>
      <c r="O623" s="54" t="s">
        <v>734</v>
      </c>
      <c r="P623" s="60"/>
      <c r="Q623" s="60"/>
      <c r="R623" s="54"/>
      <c r="S623" s="54"/>
      <c r="T623" s="54"/>
      <c r="U623" s="61">
        <v>0.91100000000000003</v>
      </c>
      <c r="V623" s="61"/>
      <c r="W623" s="61"/>
      <c r="X623" s="61"/>
      <c r="Y623" s="161">
        <v>87.1</v>
      </c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</row>
    <row r="624" spans="1:38">
      <c r="A624" s="160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</row>
    <row r="625" spans="1:38">
      <c r="A625" s="160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</row>
    <row r="626" spans="1:38">
      <c r="A626" s="160" t="s">
        <v>1166</v>
      </c>
      <c r="B626" s="160"/>
      <c r="C626" s="160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</row>
    <row r="627" spans="1:38">
      <c r="A627" s="53">
        <v>182</v>
      </c>
      <c r="B627" s="168" t="s">
        <v>875</v>
      </c>
      <c r="C627" s="96">
        <v>2010</v>
      </c>
      <c r="D627" s="64" t="s">
        <v>876</v>
      </c>
      <c r="E627" s="56" t="s">
        <v>20</v>
      </c>
      <c r="F627" s="54">
        <v>2008</v>
      </c>
      <c r="G627" s="54" t="s">
        <v>879</v>
      </c>
      <c r="H627" s="54" t="s">
        <v>880</v>
      </c>
      <c r="I627" s="54"/>
      <c r="J627" s="160" t="s">
        <v>1034</v>
      </c>
      <c r="K627" s="54" t="s">
        <v>1115</v>
      </c>
      <c r="L627" s="54" t="s">
        <v>885</v>
      </c>
      <c r="M627" s="54"/>
      <c r="N627" s="54"/>
      <c r="O627" s="54" t="s">
        <v>896</v>
      </c>
      <c r="P627" s="54"/>
      <c r="Q627" s="54"/>
      <c r="R627" s="54">
        <v>0.88</v>
      </c>
      <c r="S627" s="54"/>
      <c r="T627" s="54"/>
      <c r="U627" s="54"/>
      <c r="V627" s="54"/>
      <c r="W627" s="54"/>
      <c r="X627" s="54"/>
      <c r="Y627" s="54">
        <f>113.2*0.52</f>
        <v>58.864000000000004</v>
      </c>
      <c r="Z627" s="160" t="s">
        <v>951</v>
      </c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</row>
    <row r="628" spans="1:38">
      <c r="A628" s="53">
        <v>182</v>
      </c>
      <c r="B628" s="168" t="s">
        <v>875</v>
      </c>
      <c r="C628" s="96">
        <v>2010</v>
      </c>
      <c r="D628" s="64" t="s">
        <v>876</v>
      </c>
      <c r="E628" s="56" t="s">
        <v>20</v>
      </c>
      <c r="F628" s="54">
        <v>2008</v>
      </c>
      <c r="G628" s="54" t="s">
        <v>879</v>
      </c>
      <c r="H628" s="54" t="s">
        <v>880</v>
      </c>
      <c r="I628" s="54"/>
      <c r="J628" s="160" t="s">
        <v>1034</v>
      </c>
      <c r="K628" s="54" t="s">
        <v>1115</v>
      </c>
      <c r="L628" s="54" t="s">
        <v>885</v>
      </c>
      <c r="M628" s="54"/>
      <c r="N628" s="54"/>
      <c r="O628" s="54" t="s">
        <v>905</v>
      </c>
      <c r="P628" s="54"/>
      <c r="Q628" s="54"/>
      <c r="R628" s="54">
        <v>0.51</v>
      </c>
      <c r="S628" s="54"/>
      <c r="T628" s="54"/>
      <c r="U628" s="54"/>
      <c r="V628" s="54"/>
      <c r="W628" s="54"/>
      <c r="X628" s="54"/>
      <c r="Y628" s="54">
        <f>215.6*0.52</f>
        <v>112.11199999999999</v>
      </c>
      <c r="Z628" s="160" t="s">
        <v>951</v>
      </c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</row>
    <row r="629" spans="1:38">
      <c r="A629" s="53">
        <v>182</v>
      </c>
      <c r="B629" s="168" t="s">
        <v>875</v>
      </c>
      <c r="C629" s="96">
        <v>2010</v>
      </c>
      <c r="D629" s="64" t="s">
        <v>876</v>
      </c>
      <c r="E629" s="56" t="s">
        <v>20</v>
      </c>
      <c r="F629" s="54">
        <v>2008</v>
      </c>
      <c r="G629" s="54" t="s">
        <v>879</v>
      </c>
      <c r="H629" s="54" t="s">
        <v>880</v>
      </c>
      <c r="I629" s="54"/>
      <c r="J629" s="160" t="s">
        <v>1034</v>
      </c>
      <c r="K629" s="54" t="s">
        <v>1116</v>
      </c>
      <c r="L629" s="54" t="s">
        <v>885</v>
      </c>
      <c r="M629" s="54"/>
      <c r="N629" s="54"/>
      <c r="O629" s="54" t="s">
        <v>897</v>
      </c>
      <c r="P629" s="54"/>
      <c r="Q629" s="54"/>
      <c r="R629" s="54">
        <v>0.82</v>
      </c>
      <c r="S629" s="54"/>
      <c r="T629" s="54"/>
      <c r="U629" s="54"/>
      <c r="V629" s="54"/>
      <c r="W629" s="54"/>
      <c r="X629" s="54"/>
      <c r="Y629" s="54">
        <f>261.3*0.39</f>
        <v>101.90700000000001</v>
      </c>
      <c r="Z629" s="160" t="s">
        <v>951</v>
      </c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</row>
    <row r="630" spans="1:38">
      <c r="A630" s="53">
        <v>182</v>
      </c>
      <c r="B630" s="168" t="s">
        <v>875</v>
      </c>
      <c r="C630" s="96">
        <v>2010</v>
      </c>
      <c r="D630" s="64" t="s">
        <v>876</v>
      </c>
      <c r="E630" s="56" t="s">
        <v>20</v>
      </c>
      <c r="F630" s="54">
        <v>2008</v>
      </c>
      <c r="G630" s="54" t="s">
        <v>879</v>
      </c>
      <c r="H630" s="54" t="s">
        <v>880</v>
      </c>
      <c r="I630" s="54"/>
      <c r="J630" s="160" t="s">
        <v>1034</v>
      </c>
      <c r="K630" s="54" t="s">
        <v>1116</v>
      </c>
      <c r="L630" s="54" t="s">
        <v>885</v>
      </c>
      <c r="M630" s="54"/>
      <c r="N630" s="54"/>
      <c r="O630" s="54" t="s">
        <v>906</v>
      </c>
      <c r="P630" s="54"/>
      <c r="Q630" s="54"/>
      <c r="R630" s="54">
        <v>0.84</v>
      </c>
      <c r="S630" s="54"/>
      <c r="T630" s="54"/>
      <c r="U630" s="54"/>
      <c r="V630" s="54"/>
      <c r="W630" s="54"/>
      <c r="X630" s="54"/>
      <c r="Y630" s="54">
        <f>216.8*0.48</f>
        <v>104.06400000000001</v>
      </c>
      <c r="Z630" s="160" t="s">
        <v>951</v>
      </c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</row>
    <row r="631" spans="1:38">
      <c r="A631" s="53">
        <v>182</v>
      </c>
      <c r="B631" s="168" t="s">
        <v>875</v>
      </c>
      <c r="C631" s="96">
        <v>2010</v>
      </c>
      <c r="D631" s="64" t="s">
        <v>876</v>
      </c>
      <c r="E631" s="56" t="s">
        <v>20</v>
      </c>
      <c r="F631" s="54">
        <v>2008</v>
      </c>
      <c r="G631" s="54" t="s">
        <v>879</v>
      </c>
      <c r="H631" s="54" t="s">
        <v>880</v>
      </c>
      <c r="I631" s="54"/>
      <c r="J631" s="160" t="s">
        <v>1051</v>
      </c>
      <c r="K631" s="54" t="s">
        <v>1117</v>
      </c>
      <c r="L631" s="54" t="s">
        <v>881</v>
      </c>
      <c r="M631" s="54"/>
      <c r="N631" s="54"/>
      <c r="O631" s="54" t="s">
        <v>894</v>
      </c>
      <c r="P631" s="54"/>
      <c r="Q631" s="54"/>
      <c r="R631" s="54">
        <v>0.7</v>
      </c>
      <c r="S631" s="54"/>
      <c r="T631" s="54"/>
      <c r="U631" s="54"/>
      <c r="V631" s="54"/>
      <c r="W631" s="54"/>
      <c r="X631" s="54"/>
      <c r="Y631" s="54">
        <f>444.9*0.32</f>
        <v>142.36799999999999</v>
      </c>
      <c r="Z631" s="160" t="s">
        <v>951</v>
      </c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</row>
    <row r="632" spans="1:38">
      <c r="A632" s="53">
        <v>182</v>
      </c>
      <c r="B632" s="168" t="s">
        <v>875</v>
      </c>
      <c r="C632" s="96">
        <v>2010</v>
      </c>
      <c r="D632" s="64" t="s">
        <v>876</v>
      </c>
      <c r="E632" s="56" t="s">
        <v>20</v>
      </c>
      <c r="F632" s="54">
        <v>2008</v>
      </c>
      <c r="G632" s="54" t="s">
        <v>879</v>
      </c>
      <c r="H632" s="54" t="s">
        <v>880</v>
      </c>
      <c r="I632" s="54"/>
      <c r="J632" s="160" t="s">
        <v>1051</v>
      </c>
      <c r="K632" s="54" t="s">
        <v>1117</v>
      </c>
      <c r="L632" s="54" t="s">
        <v>881</v>
      </c>
      <c r="M632" s="54"/>
      <c r="N632" s="54"/>
      <c r="O632" s="54" t="s">
        <v>903</v>
      </c>
      <c r="P632" s="54"/>
      <c r="Q632" s="54"/>
      <c r="R632" s="54">
        <v>0.69</v>
      </c>
      <c r="S632" s="54"/>
      <c r="T632" s="54"/>
      <c r="U632" s="54"/>
      <c r="V632" s="54"/>
      <c r="W632" s="54"/>
      <c r="X632" s="54"/>
      <c r="Y632" s="54">
        <f>407.6*0.32</f>
        <v>130.43200000000002</v>
      </c>
      <c r="Z632" s="160" t="s">
        <v>951</v>
      </c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</row>
    <row r="633" spans="1:38">
      <c r="A633" s="53">
        <v>182</v>
      </c>
      <c r="B633" s="168" t="s">
        <v>875</v>
      </c>
      <c r="C633" s="96">
        <v>2010</v>
      </c>
      <c r="D633" s="64" t="s">
        <v>876</v>
      </c>
      <c r="E633" s="56" t="s">
        <v>20</v>
      </c>
      <c r="F633" s="54">
        <v>2008</v>
      </c>
      <c r="G633" s="54" t="s">
        <v>879</v>
      </c>
      <c r="H633" s="54" t="s">
        <v>880</v>
      </c>
      <c r="I633" s="54"/>
      <c r="J633" s="160" t="s">
        <v>1034</v>
      </c>
      <c r="K633" s="54" t="s">
        <v>1118</v>
      </c>
      <c r="L633" s="54" t="s">
        <v>881</v>
      </c>
      <c r="M633" s="54"/>
      <c r="N633" s="54"/>
      <c r="O633" s="54" t="s">
        <v>893</v>
      </c>
      <c r="P633" s="54"/>
      <c r="Q633" s="54"/>
      <c r="R633" s="54">
        <v>0.79</v>
      </c>
      <c r="S633" s="54"/>
      <c r="T633" s="54"/>
      <c r="U633" s="54"/>
      <c r="V633" s="54"/>
      <c r="W633" s="54"/>
      <c r="X633" s="54"/>
      <c r="Y633" s="54">
        <f>253.2*0.5</f>
        <v>126.6</v>
      </c>
      <c r="Z633" s="160" t="s">
        <v>951</v>
      </c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</row>
    <row r="634" spans="1:38">
      <c r="A634" s="53">
        <v>182</v>
      </c>
      <c r="B634" s="168" t="s">
        <v>875</v>
      </c>
      <c r="C634" s="96">
        <v>2010</v>
      </c>
      <c r="D634" s="64" t="s">
        <v>876</v>
      </c>
      <c r="E634" s="56" t="s">
        <v>20</v>
      </c>
      <c r="F634" s="54">
        <v>2008</v>
      </c>
      <c r="G634" s="54" t="s">
        <v>879</v>
      </c>
      <c r="H634" s="54" t="s">
        <v>880</v>
      </c>
      <c r="I634" s="54"/>
      <c r="J634" s="160" t="s">
        <v>1034</v>
      </c>
      <c r="K634" s="54" t="s">
        <v>1118</v>
      </c>
      <c r="L634" s="54" t="s">
        <v>881</v>
      </c>
      <c r="M634" s="54"/>
      <c r="N634" s="54"/>
      <c r="O634" s="54" t="s">
        <v>902</v>
      </c>
      <c r="P634" s="54"/>
      <c r="Q634" s="54"/>
      <c r="R634" s="54">
        <v>0.74</v>
      </c>
      <c r="S634" s="54"/>
      <c r="T634" s="54"/>
      <c r="U634" s="54"/>
      <c r="V634" s="54"/>
      <c r="W634" s="54"/>
      <c r="X634" s="54"/>
      <c r="Y634" s="54">
        <f>313.6*0.5</f>
        <v>156.80000000000001</v>
      </c>
      <c r="Z634" s="160" t="s">
        <v>951</v>
      </c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</row>
    <row r="635" spans="1:38">
      <c r="A635" s="53">
        <v>182</v>
      </c>
      <c r="B635" s="168" t="s">
        <v>875</v>
      </c>
      <c r="C635" s="96">
        <v>2010</v>
      </c>
      <c r="D635" s="64" t="s">
        <v>876</v>
      </c>
      <c r="E635" s="56" t="s">
        <v>20</v>
      </c>
      <c r="F635" s="54">
        <v>2008</v>
      </c>
      <c r="G635" s="54" t="s">
        <v>879</v>
      </c>
      <c r="H635" s="54" t="s">
        <v>880</v>
      </c>
      <c r="I635" s="54"/>
      <c r="J635" s="160"/>
      <c r="K635" s="54" t="s">
        <v>1121</v>
      </c>
      <c r="L635" s="54" t="s">
        <v>881</v>
      </c>
      <c r="M635" s="54"/>
      <c r="N635" s="54"/>
      <c r="O635" s="54" t="s">
        <v>895</v>
      </c>
      <c r="P635" s="54"/>
      <c r="Q635" s="54"/>
      <c r="R635" s="54">
        <v>0.8</v>
      </c>
      <c r="S635" s="54"/>
      <c r="T635" s="54"/>
      <c r="U635" s="54"/>
      <c r="V635" s="54"/>
      <c r="W635" s="54"/>
      <c r="X635" s="54"/>
      <c r="Y635" s="54">
        <f>431.4*0.03</f>
        <v>12.941999999999998</v>
      </c>
      <c r="Z635" s="160" t="s">
        <v>951</v>
      </c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</row>
    <row r="636" spans="1:38">
      <c r="A636" s="53">
        <v>182</v>
      </c>
      <c r="B636" s="168" t="s">
        <v>875</v>
      </c>
      <c r="C636" s="96">
        <v>2010</v>
      </c>
      <c r="D636" s="64" t="s">
        <v>876</v>
      </c>
      <c r="E636" s="56" t="s">
        <v>20</v>
      </c>
      <c r="F636" s="54">
        <v>2008</v>
      </c>
      <c r="G636" s="54" t="s">
        <v>879</v>
      </c>
      <c r="H636" s="54" t="s">
        <v>880</v>
      </c>
      <c r="I636" s="54"/>
      <c r="J636" s="160"/>
      <c r="K636" s="54" t="s">
        <v>1121</v>
      </c>
      <c r="L636" s="54" t="s">
        <v>881</v>
      </c>
      <c r="M636" s="54"/>
      <c r="N636" s="54"/>
      <c r="O636" s="54" t="s">
        <v>904</v>
      </c>
      <c r="P636" s="54"/>
      <c r="Q636" s="54"/>
      <c r="R636" s="54">
        <v>0.82</v>
      </c>
      <c r="S636" s="54"/>
      <c r="T636" s="54"/>
      <c r="U636" s="54"/>
      <c r="V636" s="54"/>
      <c r="W636" s="54"/>
      <c r="X636" s="54"/>
      <c r="Y636" s="54">
        <f>357.7*0.03</f>
        <v>10.731</v>
      </c>
      <c r="Z636" s="160" t="s">
        <v>951</v>
      </c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</row>
    <row r="637" spans="1:38">
      <c r="A637" s="53">
        <v>182</v>
      </c>
      <c r="B637" s="168" t="s">
        <v>875</v>
      </c>
      <c r="C637" s="96">
        <v>2010</v>
      </c>
      <c r="D637" s="64" t="s">
        <v>876</v>
      </c>
      <c r="E637" s="56" t="s">
        <v>20</v>
      </c>
      <c r="F637" s="54">
        <v>2008</v>
      </c>
      <c r="G637" s="54" t="s">
        <v>879</v>
      </c>
      <c r="H637" s="54" t="s">
        <v>880</v>
      </c>
      <c r="I637" s="54"/>
      <c r="J637" s="160" t="s">
        <v>1034</v>
      </c>
      <c r="K637" s="54" t="s">
        <v>1119</v>
      </c>
      <c r="L637" s="54" t="s">
        <v>234</v>
      </c>
      <c r="M637" s="54"/>
      <c r="N637" s="54"/>
      <c r="O637" s="54" t="s">
        <v>898</v>
      </c>
      <c r="P637" s="54"/>
      <c r="Q637" s="54"/>
      <c r="R637" s="54">
        <v>0.72</v>
      </c>
      <c r="S637" s="54"/>
      <c r="T637" s="54"/>
      <c r="U637" s="54"/>
      <c r="V637" s="54"/>
      <c r="W637" s="54"/>
      <c r="X637" s="54"/>
      <c r="Y637" s="54">
        <f>97.5*0.49</f>
        <v>47.774999999999999</v>
      </c>
      <c r="Z637" s="160" t="s">
        <v>951</v>
      </c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</row>
    <row r="638" spans="1:38">
      <c r="A638" s="53">
        <v>182</v>
      </c>
      <c r="B638" s="168" t="s">
        <v>875</v>
      </c>
      <c r="C638" s="96">
        <v>2010</v>
      </c>
      <c r="D638" s="64" t="s">
        <v>876</v>
      </c>
      <c r="E638" s="56" t="s">
        <v>20</v>
      </c>
      <c r="F638" s="54">
        <v>2008</v>
      </c>
      <c r="G638" s="54" t="s">
        <v>879</v>
      </c>
      <c r="H638" s="54" t="s">
        <v>880</v>
      </c>
      <c r="I638" s="54"/>
      <c r="J638" s="160" t="s">
        <v>1034</v>
      </c>
      <c r="K638" s="54" t="s">
        <v>1119</v>
      </c>
      <c r="L638" s="54" t="s">
        <v>234</v>
      </c>
      <c r="M638" s="54"/>
      <c r="N638" s="54"/>
      <c r="O638" s="54" t="s">
        <v>907</v>
      </c>
      <c r="P638" s="54"/>
      <c r="Q638" s="54"/>
      <c r="R638" s="54">
        <v>0.62</v>
      </c>
      <c r="S638" s="54"/>
      <c r="T638" s="54"/>
      <c r="U638" s="54"/>
      <c r="V638" s="54"/>
      <c r="W638" s="54"/>
      <c r="X638" s="54"/>
      <c r="Y638" s="54">
        <f>134.2*0.6</f>
        <v>80.52</v>
      </c>
      <c r="Z638" s="160" t="s">
        <v>951</v>
      </c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</row>
    <row r="639" spans="1:38">
      <c r="A639" s="53">
        <v>182</v>
      </c>
      <c r="B639" s="168" t="s">
        <v>875</v>
      </c>
      <c r="C639" s="96">
        <v>2010</v>
      </c>
      <c r="D639" s="64" t="s">
        <v>876</v>
      </c>
      <c r="E639" s="56" t="s">
        <v>20</v>
      </c>
      <c r="F639" s="54">
        <v>2008</v>
      </c>
      <c r="G639" s="54" t="s">
        <v>879</v>
      </c>
      <c r="H639" s="54" t="s">
        <v>880</v>
      </c>
      <c r="I639" s="54"/>
      <c r="J639" s="160" t="s">
        <v>1034</v>
      </c>
      <c r="K639" s="54" t="s">
        <v>1120</v>
      </c>
      <c r="L639" s="54" t="s">
        <v>234</v>
      </c>
      <c r="M639" s="54"/>
      <c r="N639" s="54"/>
      <c r="O639" s="54" t="s">
        <v>899</v>
      </c>
      <c r="P639" s="54"/>
      <c r="Q639" s="54"/>
      <c r="R639" s="54">
        <v>0.89</v>
      </c>
      <c r="S639" s="54"/>
      <c r="T639" s="54"/>
      <c r="U639" s="54"/>
      <c r="V639" s="54"/>
      <c r="W639" s="54"/>
      <c r="X639" s="54"/>
      <c r="Y639" s="54">
        <f>107.1*0.48</f>
        <v>51.407999999999994</v>
      </c>
      <c r="Z639" s="160" t="s">
        <v>951</v>
      </c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</row>
    <row r="640" spans="1:38">
      <c r="A640" s="53">
        <v>182</v>
      </c>
      <c r="B640" s="168" t="s">
        <v>875</v>
      </c>
      <c r="C640" s="96">
        <v>2010</v>
      </c>
      <c r="D640" s="64" t="s">
        <v>876</v>
      </c>
      <c r="E640" s="56" t="s">
        <v>20</v>
      </c>
      <c r="F640" s="54">
        <v>2008</v>
      </c>
      <c r="G640" s="54" t="s">
        <v>879</v>
      </c>
      <c r="H640" s="54" t="s">
        <v>880</v>
      </c>
      <c r="I640" s="54"/>
      <c r="J640" s="160" t="s">
        <v>1034</v>
      </c>
      <c r="K640" s="54" t="s">
        <v>1120</v>
      </c>
      <c r="L640" s="54" t="s">
        <v>234</v>
      </c>
      <c r="M640" s="54"/>
      <c r="N640" s="54"/>
      <c r="O640" s="54" t="s">
        <v>908</v>
      </c>
      <c r="P640" s="54"/>
      <c r="Q640" s="54"/>
      <c r="R640" s="54">
        <v>0.87</v>
      </c>
      <c r="S640" s="54"/>
      <c r="T640" s="54"/>
      <c r="U640" s="54"/>
      <c r="V640" s="54"/>
      <c r="W640" s="54"/>
      <c r="X640" s="54"/>
      <c r="Y640" s="54">
        <f>188.5*0.52</f>
        <v>98.02000000000001</v>
      </c>
      <c r="Z640" s="160" t="s">
        <v>951</v>
      </c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</row>
    <row r="641" spans="1:38">
      <c r="A641" s="53">
        <v>182</v>
      </c>
      <c r="B641" s="168" t="s">
        <v>875</v>
      </c>
      <c r="C641" s="96">
        <v>2010</v>
      </c>
      <c r="D641" s="64" t="s">
        <v>876</v>
      </c>
      <c r="E641" s="56" t="s">
        <v>20</v>
      </c>
      <c r="F641" s="54">
        <v>2008</v>
      </c>
      <c r="G641" s="54" t="s">
        <v>879</v>
      </c>
      <c r="H641" s="54" t="s">
        <v>880</v>
      </c>
      <c r="I641" s="54"/>
      <c r="J641" s="160" t="s">
        <v>1034</v>
      </c>
      <c r="K641" s="54" t="s">
        <v>1122</v>
      </c>
      <c r="L641" s="54" t="s">
        <v>890</v>
      </c>
      <c r="M641" s="54"/>
      <c r="N641" s="54"/>
      <c r="O641" s="54" t="s">
        <v>900</v>
      </c>
      <c r="P641" s="54"/>
      <c r="Q641" s="54"/>
      <c r="R641" s="54">
        <v>0.67</v>
      </c>
      <c r="S641" s="54"/>
      <c r="T641" s="54"/>
      <c r="U641" s="54"/>
      <c r="V641" s="54"/>
      <c r="W641" s="54"/>
      <c r="X641" s="54"/>
      <c r="Y641" s="54">
        <f>77.7*0.47</f>
        <v>36.518999999999998</v>
      </c>
      <c r="Z641" s="160" t="s">
        <v>951</v>
      </c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</row>
    <row r="642" spans="1:38">
      <c r="A642" s="53">
        <v>182</v>
      </c>
      <c r="B642" s="168" t="s">
        <v>875</v>
      </c>
      <c r="C642" s="96">
        <v>2010</v>
      </c>
      <c r="D642" s="64" t="s">
        <v>876</v>
      </c>
      <c r="E642" s="56" t="s">
        <v>20</v>
      </c>
      <c r="F642" s="54">
        <v>2008</v>
      </c>
      <c r="G642" s="54" t="s">
        <v>879</v>
      </c>
      <c r="H642" s="54" t="s">
        <v>880</v>
      </c>
      <c r="I642" s="54"/>
      <c r="J642" s="160" t="s">
        <v>1034</v>
      </c>
      <c r="K642" s="54" t="s">
        <v>1122</v>
      </c>
      <c r="L642" s="54" t="s">
        <v>890</v>
      </c>
      <c r="M642" s="54"/>
      <c r="N642" s="54"/>
      <c r="O642" s="54" t="s">
        <v>909</v>
      </c>
      <c r="P642" s="54"/>
      <c r="Q642" s="54"/>
      <c r="R642" s="54">
        <v>0.72</v>
      </c>
      <c r="S642" s="54"/>
      <c r="T642" s="54"/>
      <c r="U642" s="54"/>
      <c r="V642" s="54"/>
      <c r="W642" s="54"/>
      <c r="X642" s="54"/>
      <c r="Y642" s="54">
        <f>142.6*0.47</f>
        <v>67.021999999999991</v>
      </c>
      <c r="Z642" s="160" t="s">
        <v>951</v>
      </c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</row>
    <row r="643" spans="1:38">
      <c r="A643" s="53">
        <v>182</v>
      </c>
      <c r="B643" s="168" t="s">
        <v>875</v>
      </c>
      <c r="C643" s="96">
        <v>2010</v>
      </c>
      <c r="D643" s="64" t="s">
        <v>876</v>
      </c>
      <c r="E643" s="56" t="s">
        <v>20</v>
      </c>
      <c r="F643" s="54">
        <v>2008</v>
      </c>
      <c r="G643" s="54" t="s">
        <v>879</v>
      </c>
      <c r="H643" s="54" t="s">
        <v>880</v>
      </c>
      <c r="I643" s="54"/>
      <c r="J643" s="160" t="s">
        <v>1034</v>
      </c>
      <c r="K643" s="54" t="s">
        <v>1123</v>
      </c>
      <c r="L643" s="54" t="s">
        <v>890</v>
      </c>
      <c r="M643" s="54"/>
      <c r="N643" s="54"/>
      <c r="O643" s="54" t="s">
        <v>901</v>
      </c>
      <c r="P643" s="54"/>
      <c r="Q643" s="54"/>
      <c r="R643" s="54">
        <v>0.86</v>
      </c>
      <c r="S643" s="54"/>
      <c r="T643" s="54"/>
      <c r="U643" s="54"/>
      <c r="V643" s="54"/>
      <c r="W643" s="54"/>
      <c r="X643" s="54"/>
      <c r="Y643" s="54">
        <f>108.1*0.5</f>
        <v>54.05</v>
      </c>
      <c r="Z643" s="160" t="s">
        <v>951</v>
      </c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</row>
    <row r="644" spans="1:38">
      <c r="A644" s="53">
        <v>182</v>
      </c>
      <c r="B644" s="168" t="s">
        <v>875</v>
      </c>
      <c r="C644" s="96">
        <v>2010</v>
      </c>
      <c r="D644" s="64" t="s">
        <v>876</v>
      </c>
      <c r="E644" s="56" t="s">
        <v>20</v>
      </c>
      <c r="F644" s="54">
        <v>2008</v>
      </c>
      <c r="G644" s="54" t="s">
        <v>879</v>
      </c>
      <c r="H644" s="54" t="s">
        <v>880</v>
      </c>
      <c r="I644" s="54"/>
      <c r="J644" s="160" t="s">
        <v>1034</v>
      </c>
      <c r="K644" s="54" t="s">
        <v>1123</v>
      </c>
      <c r="L644" s="54" t="s">
        <v>890</v>
      </c>
      <c r="M644" s="54"/>
      <c r="N644" s="54"/>
      <c r="O644" s="54" t="s">
        <v>910</v>
      </c>
      <c r="P644" s="54"/>
      <c r="Q644" s="54"/>
      <c r="R644" s="54">
        <v>0.88</v>
      </c>
      <c r="S644" s="54"/>
      <c r="T644" s="54"/>
      <c r="U644" s="54"/>
      <c r="V644" s="54"/>
      <c r="W644" s="54"/>
      <c r="X644" s="54"/>
      <c r="Y644" s="54">
        <f>133.1*0.5</f>
        <v>66.55</v>
      </c>
      <c r="Z644" s="160" t="s">
        <v>951</v>
      </c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</row>
    <row r="645" spans="1:38">
      <c r="A645" s="160"/>
      <c r="B645" s="160"/>
      <c r="C645" s="160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</row>
    <row r="646" spans="1:38">
      <c r="A646" s="160" t="s">
        <v>1165</v>
      </c>
      <c r="B646" s="160"/>
      <c r="C646" s="160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</row>
    <row r="647" spans="1:38">
      <c r="A647" s="53">
        <v>197</v>
      </c>
      <c r="B647" s="64" t="s">
        <v>875</v>
      </c>
      <c r="C647" s="96">
        <v>2007</v>
      </c>
      <c r="D647" s="64" t="s">
        <v>928</v>
      </c>
      <c r="E647" s="56" t="s">
        <v>20</v>
      </c>
      <c r="F647" s="54">
        <v>2003</v>
      </c>
      <c r="G647" s="54" t="s">
        <v>326</v>
      </c>
      <c r="H647" s="54" t="s">
        <v>159</v>
      </c>
      <c r="I647" s="54"/>
      <c r="J647" s="160"/>
      <c r="K647" s="54" t="s">
        <v>1108</v>
      </c>
      <c r="L647" s="54" t="s">
        <v>926</v>
      </c>
      <c r="M647" s="54"/>
      <c r="N647" s="54"/>
      <c r="O647" s="54" t="s">
        <v>927</v>
      </c>
      <c r="P647" s="54">
        <v>0.96</v>
      </c>
      <c r="Q647" s="54">
        <v>0.76</v>
      </c>
      <c r="R647" s="54"/>
      <c r="S647" s="54"/>
      <c r="T647" s="54">
        <v>0.87</v>
      </c>
      <c r="U647" s="54"/>
      <c r="V647" s="54"/>
      <c r="W647" s="54">
        <v>270.89999999999998</v>
      </c>
      <c r="X647" s="54"/>
      <c r="Y647" s="54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</row>
    <row r="648" spans="1:38">
      <c r="A648" s="53">
        <v>197</v>
      </c>
      <c r="B648" s="64" t="s">
        <v>875</v>
      </c>
      <c r="C648" s="96">
        <v>2007</v>
      </c>
      <c r="D648" s="64" t="s">
        <v>928</v>
      </c>
      <c r="E648" s="56" t="s">
        <v>20</v>
      </c>
      <c r="F648" s="54">
        <v>2003</v>
      </c>
      <c r="G648" s="54" t="s">
        <v>326</v>
      </c>
      <c r="H648" s="54" t="s">
        <v>159</v>
      </c>
      <c r="I648" s="54"/>
      <c r="J648" s="160"/>
      <c r="K648" s="169" t="s">
        <v>1109</v>
      </c>
      <c r="L648" s="54" t="s">
        <v>935</v>
      </c>
      <c r="M648" s="54"/>
      <c r="N648" s="54"/>
      <c r="O648" s="54" t="s">
        <v>936</v>
      </c>
      <c r="P648" s="54">
        <v>0.98</v>
      </c>
      <c r="Q648" s="54">
        <v>0.88</v>
      </c>
      <c r="R648" s="54">
        <v>0.97</v>
      </c>
      <c r="S648" s="54">
        <v>0.98</v>
      </c>
      <c r="T648" s="54">
        <v>0.88</v>
      </c>
      <c r="U648" s="54">
        <v>0.98</v>
      </c>
      <c r="V648" s="54">
        <v>16.8</v>
      </c>
      <c r="W648" s="54">
        <v>121.7</v>
      </c>
      <c r="X648" s="54"/>
      <c r="Y648" s="54">
        <v>20.100000000000001</v>
      </c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</row>
    <row r="649" spans="1:38">
      <c r="A649" s="53">
        <v>197</v>
      </c>
      <c r="B649" s="64" t="s">
        <v>875</v>
      </c>
      <c r="C649" s="96">
        <v>2007</v>
      </c>
      <c r="D649" s="64" t="s">
        <v>928</v>
      </c>
      <c r="E649" s="56" t="s">
        <v>20</v>
      </c>
      <c r="F649" s="54">
        <v>2003</v>
      </c>
      <c r="G649" s="54" t="s">
        <v>326</v>
      </c>
      <c r="H649" s="54" t="s">
        <v>159</v>
      </c>
      <c r="I649" s="54"/>
      <c r="J649" s="160"/>
      <c r="K649" s="54" t="s">
        <v>1110</v>
      </c>
      <c r="L649" s="54" t="s">
        <v>925</v>
      </c>
      <c r="M649" s="54"/>
      <c r="N649" s="54"/>
      <c r="O649" s="54" t="s">
        <v>934</v>
      </c>
      <c r="P649" s="54">
        <v>0.98</v>
      </c>
      <c r="Q649" s="54">
        <v>0.82</v>
      </c>
      <c r="R649" s="54">
        <v>0.97</v>
      </c>
      <c r="S649" s="54">
        <v>0.99</v>
      </c>
      <c r="T649" s="54">
        <v>0.86</v>
      </c>
      <c r="U649" s="54">
        <v>0.98</v>
      </c>
      <c r="V649" s="54">
        <v>16.100000000000001</v>
      </c>
      <c r="W649" s="54">
        <v>154.4</v>
      </c>
      <c r="X649" s="54"/>
      <c r="Y649" s="54">
        <v>20.7</v>
      </c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</row>
    <row r="650" spans="1:38">
      <c r="A650" s="53">
        <v>197</v>
      </c>
      <c r="B650" s="64" t="s">
        <v>875</v>
      </c>
      <c r="C650" s="96">
        <v>2007</v>
      </c>
      <c r="D650" s="64" t="s">
        <v>928</v>
      </c>
      <c r="E650" s="56" t="s">
        <v>20</v>
      </c>
      <c r="F650" s="54">
        <v>2003</v>
      </c>
      <c r="G650" s="54" t="s">
        <v>326</v>
      </c>
      <c r="H650" s="54" t="s">
        <v>159</v>
      </c>
      <c r="I650" s="54"/>
      <c r="J650" s="160"/>
      <c r="K650" s="54" t="s">
        <v>938</v>
      </c>
      <c r="L650" s="54" t="s">
        <v>938</v>
      </c>
      <c r="M650" s="54"/>
      <c r="N650" s="54"/>
      <c r="O650" s="54" t="s">
        <v>939</v>
      </c>
      <c r="P650" s="54">
        <v>0.97</v>
      </c>
      <c r="Q650" s="54"/>
      <c r="R650" s="54"/>
      <c r="S650" s="54">
        <v>1</v>
      </c>
      <c r="T650" s="54"/>
      <c r="U650" s="54"/>
      <c r="V650" s="54">
        <v>2.8</v>
      </c>
      <c r="W650" s="54"/>
      <c r="X650" s="54"/>
      <c r="Y650" s="54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</row>
    <row r="651" spans="1:38">
      <c r="A651" s="160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</row>
    <row r="652" spans="1:38">
      <c r="A652" s="160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</row>
    <row r="653" spans="1:38">
      <c r="A653" s="53">
        <v>174</v>
      </c>
      <c r="B653" s="54" t="s">
        <v>697</v>
      </c>
      <c r="C653" s="54">
        <v>2009</v>
      </c>
      <c r="D653" s="55" t="s">
        <v>698</v>
      </c>
      <c r="E653" s="56" t="s">
        <v>20</v>
      </c>
      <c r="F653" s="57" t="s">
        <v>701</v>
      </c>
      <c r="G653" s="54"/>
      <c r="H653" s="54"/>
      <c r="I653" s="54"/>
      <c r="J653" s="160" t="s">
        <v>1093</v>
      </c>
      <c r="K653" s="54" t="s">
        <v>1094</v>
      </c>
      <c r="L653" s="54" t="s">
        <v>738</v>
      </c>
      <c r="M653" s="59"/>
      <c r="N653" s="59"/>
      <c r="O653" s="54" t="s">
        <v>739</v>
      </c>
      <c r="P653" s="60"/>
      <c r="Q653" s="60"/>
      <c r="R653" s="54"/>
      <c r="S653" s="54"/>
      <c r="T653" s="54"/>
      <c r="U653" s="61">
        <v>0.92200000000000004</v>
      </c>
      <c r="V653" s="61"/>
      <c r="W653" s="61"/>
      <c r="X653" s="58">
        <f>IF(R653&lt;&gt;0,IF(R653&gt;1,R653/100,R653),IF(U653&lt;&gt;0,IF(U653&gt;1,U653/100,U653),""))</f>
        <v>0.92200000000000004</v>
      </c>
      <c r="Y653" s="161">
        <v>84.4</v>
      </c>
      <c r="Z653" s="63" t="str">
        <f>IF(X653&lt;&gt;"",IF(X653&lt;0.9,"S","F"),"")</f>
        <v>F</v>
      </c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</row>
    <row r="654" spans="1:38">
      <c r="A654" s="160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</row>
    <row r="655" spans="1:38">
      <c r="A655" s="160" t="s">
        <v>1334</v>
      </c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</row>
    <row r="656" spans="1:38" s="45" customFormat="1">
      <c r="A656" s="53">
        <v>150</v>
      </c>
      <c r="B656" s="60" t="s">
        <v>542</v>
      </c>
      <c r="C656" s="54">
        <v>1970</v>
      </c>
      <c r="D656" s="60" t="s">
        <v>543</v>
      </c>
      <c r="E656" s="56" t="s">
        <v>20</v>
      </c>
      <c r="F656" s="54">
        <v>1968</v>
      </c>
      <c r="G656" s="54"/>
      <c r="H656" s="54"/>
      <c r="I656" s="54"/>
      <c r="J656" s="54" t="s">
        <v>1013</v>
      </c>
      <c r="K656" s="54" t="s">
        <v>1006</v>
      </c>
      <c r="L656" s="54" t="s">
        <v>557</v>
      </c>
      <c r="M656" s="54" t="s">
        <v>555</v>
      </c>
      <c r="N656" s="54"/>
      <c r="O656" s="54" t="s">
        <v>558</v>
      </c>
      <c r="P656" s="54"/>
      <c r="Q656" s="54"/>
      <c r="R656" s="54"/>
      <c r="S656" s="54"/>
      <c r="T656" s="54"/>
      <c r="U656" s="54"/>
      <c r="V656" s="54"/>
      <c r="W656" s="54"/>
      <c r="X656" s="66" t="str">
        <f>IF(R656&lt;&gt;0,IF(R656&gt;1,R656/100,R656),IF(U656&lt;&gt;0,IF(U656&gt;1,U656/100,U656),""))</f>
        <v/>
      </c>
      <c r="Y656" s="71">
        <v>59</v>
      </c>
      <c r="Z656" s="192" t="str">
        <f>IF(X656&lt;&gt;"",IF(X656&lt;0.9,"S","F"),"")</f>
        <v/>
      </c>
      <c r="AA656" s="66"/>
      <c r="AB656" s="66"/>
      <c r="AC656" s="66"/>
      <c r="AD656" s="172"/>
      <c r="AE656" s="172"/>
      <c r="AF656" s="172"/>
      <c r="AG656" s="172"/>
      <c r="AH656" s="172"/>
      <c r="AI656" s="172"/>
      <c r="AJ656" s="172"/>
      <c r="AK656" s="172"/>
      <c r="AL656" s="172"/>
    </row>
    <row r="657" spans="1:38" s="45" customFormat="1">
      <c r="A657" s="53">
        <v>150</v>
      </c>
      <c r="B657" s="60" t="s">
        <v>542</v>
      </c>
      <c r="C657" s="54">
        <v>1970</v>
      </c>
      <c r="D657" s="60" t="s">
        <v>543</v>
      </c>
      <c r="E657" s="56" t="s">
        <v>20</v>
      </c>
      <c r="F657" s="54">
        <v>1968</v>
      </c>
      <c r="G657" s="54"/>
      <c r="H657" s="54"/>
      <c r="I657" s="54"/>
      <c r="J657" s="54" t="s">
        <v>1013</v>
      </c>
      <c r="K657" s="54" t="s">
        <v>1006</v>
      </c>
      <c r="L657" s="54" t="s">
        <v>554</v>
      </c>
      <c r="M657" s="54" t="s">
        <v>555</v>
      </c>
      <c r="N657" s="54"/>
      <c r="O657" s="54" t="s">
        <v>556</v>
      </c>
      <c r="P657" s="54"/>
      <c r="Q657" s="54"/>
      <c r="R657" s="54"/>
      <c r="S657" s="54"/>
      <c r="T657" s="54"/>
      <c r="U657" s="54"/>
      <c r="V657" s="54"/>
      <c r="W657" s="54"/>
      <c r="X657" s="66" t="str">
        <f>IF(R657&lt;&gt;0,IF(R657&gt;1,R657/100,R657),IF(U657&lt;&gt;0,IF(U657&gt;1,U657/100,U657),""))</f>
        <v/>
      </c>
      <c r="Y657" s="71">
        <v>56</v>
      </c>
      <c r="Z657" s="192" t="str">
        <f>IF(X657&lt;&gt;"",IF(X657&lt;0.9,"S","F"),"")</f>
        <v/>
      </c>
      <c r="AA657" s="66"/>
      <c r="AB657" s="66"/>
      <c r="AC657" s="66"/>
      <c r="AD657" s="172"/>
      <c r="AE657" s="172"/>
      <c r="AF657" s="172"/>
      <c r="AG657" s="172"/>
      <c r="AH657" s="172"/>
      <c r="AI657" s="172"/>
      <c r="AJ657" s="172"/>
      <c r="AK657" s="172"/>
      <c r="AL657" s="172"/>
    </row>
    <row r="658" spans="1:38" s="45" customFormat="1">
      <c r="A658" s="53">
        <v>150</v>
      </c>
      <c r="B658" s="60" t="s">
        <v>542</v>
      </c>
      <c r="C658" s="54">
        <v>1970</v>
      </c>
      <c r="D658" s="60" t="s">
        <v>543</v>
      </c>
      <c r="E658" s="56" t="s">
        <v>20</v>
      </c>
      <c r="F658" s="54">
        <v>1968</v>
      </c>
      <c r="G658" s="54"/>
      <c r="H658" s="54"/>
      <c r="I658" s="54"/>
      <c r="J658" s="54" t="s">
        <v>1013</v>
      </c>
      <c r="K658" s="54" t="s">
        <v>1002</v>
      </c>
      <c r="L658" s="54" t="s">
        <v>549</v>
      </c>
      <c r="M658" s="54" t="s">
        <v>547</v>
      </c>
      <c r="N658" s="54"/>
      <c r="O658" s="54" t="s">
        <v>550</v>
      </c>
      <c r="P658" s="54"/>
      <c r="Q658" s="54"/>
      <c r="R658" s="54"/>
      <c r="S658" s="54"/>
      <c r="T658" s="54"/>
      <c r="U658" s="54"/>
      <c r="V658" s="54"/>
      <c r="W658" s="54"/>
      <c r="X658" s="66" t="str">
        <f>IF(R658&lt;&gt;0,IF(R658&gt;1,R658/100,R658),IF(U658&lt;&gt;0,IF(U658&gt;1,U658/100,U658),""))</f>
        <v/>
      </c>
      <c r="Y658" s="71">
        <v>46</v>
      </c>
      <c r="Z658" s="192" t="str">
        <f>IF(X658&lt;&gt;"",IF(X658&lt;0.9,"S","F"),"")</f>
        <v/>
      </c>
      <c r="AA658" s="66"/>
      <c r="AB658" s="66"/>
      <c r="AC658" s="66"/>
      <c r="AD658" s="172"/>
      <c r="AE658" s="172"/>
      <c r="AF658" s="172"/>
      <c r="AG658" s="172"/>
      <c r="AH658" s="172"/>
      <c r="AI658" s="172"/>
      <c r="AJ658" s="172"/>
      <c r="AK658" s="172"/>
      <c r="AL658" s="172"/>
    </row>
    <row r="659" spans="1:38" s="45" customFormat="1">
      <c r="A659" s="53">
        <v>150</v>
      </c>
      <c r="B659" s="60" t="s">
        <v>542</v>
      </c>
      <c r="C659" s="54">
        <v>1970</v>
      </c>
      <c r="D659" s="60" t="s">
        <v>543</v>
      </c>
      <c r="E659" s="56" t="s">
        <v>20</v>
      </c>
      <c r="F659" s="54">
        <v>1968</v>
      </c>
      <c r="G659" s="54"/>
      <c r="H659" s="54"/>
      <c r="I659" s="54"/>
      <c r="J659" s="54" t="s">
        <v>1013</v>
      </c>
      <c r="K659" s="54" t="s">
        <v>1002</v>
      </c>
      <c r="L659" s="54" t="s">
        <v>551</v>
      </c>
      <c r="M659" s="54" t="s">
        <v>552</v>
      </c>
      <c r="N659" s="54"/>
      <c r="O659" s="54" t="s">
        <v>553</v>
      </c>
      <c r="P659" s="54"/>
      <c r="Q659" s="54"/>
      <c r="R659" s="54"/>
      <c r="S659" s="54"/>
      <c r="T659" s="54"/>
      <c r="U659" s="54"/>
      <c r="V659" s="54"/>
      <c r="W659" s="54"/>
      <c r="X659" s="66" t="str">
        <f>IF(R659&lt;&gt;0,IF(R659&gt;1,R659/100,R659),IF(U659&lt;&gt;0,IF(U659&gt;1,U659/100,U659),""))</f>
        <v/>
      </c>
      <c r="Y659" s="71">
        <v>32</v>
      </c>
      <c r="Z659" s="192" t="str">
        <f>IF(X659&lt;&gt;"",IF(X659&lt;0.9,"S","F"),"")</f>
        <v/>
      </c>
      <c r="AA659" s="66"/>
      <c r="AB659" s="66"/>
      <c r="AC659" s="66"/>
      <c r="AD659" s="172"/>
      <c r="AE659" s="172"/>
      <c r="AF659" s="172"/>
      <c r="AG659" s="172"/>
      <c r="AH659" s="172"/>
      <c r="AI659" s="172"/>
      <c r="AJ659" s="172"/>
      <c r="AK659" s="172"/>
      <c r="AL659" s="172"/>
    </row>
    <row r="660" spans="1:38" s="45" customFormat="1">
      <c r="A660" s="53">
        <v>150</v>
      </c>
      <c r="B660" s="60" t="s">
        <v>542</v>
      </c>
      <c r="C660" s="54">
        <v>1970</v>
      </c>
      <c r="D660" s="60" t="s">
        <v>543</v>
      </c>
      <c r="E660" s="56" t="s">
        <v>20</v>
      </c>
      <c r="F660" s="54">
        <v>1968</v>
      </c>
      <c r="G660" s="54"/>
      <c r="H660" s="54"/>
      <c r="I660" s="54"/>
      <c r="J660" s="54" t="s">
        <v>1013</v>
      </c>
      <c r="K660" s="54" t="s">
        <v>1002</v>
      </c>
      <c r="L660" s="54" t="s">
        <v>546</v>
      </c>
      <c r="M660" s="54" t="s">
        <v>547</v>
      </c>
      <c r="N660" s="54"/>
      <c r="O660" s="54" t="s">
        <v>548</v>
      </c>
      <c r="P660" s="54"/>
      <c r="Q660" s="54"/>
      <c r="R660" s="54"/>
      <c r="S660" s="54"/>
      <c r="T660" s="54"/>
      <c r="U660" s="54"/>
      <c r="V660" s="54"/>
      <c r="W660" s="54"/>
      <c r="X660" s="66" t="str">
        <f>IF(R660&lt;&gt;0,IF(R660&gt;1,R660/100,R660),IF(U660&lt;&gt;0,IF(U660&gt;1,U660/100,U660),""))</f>
        <v/>
      </c>
      <c r="Y660" s="71">
        <v>30</v>
      </c>
      <c r="Z660" s="192" t="str">
        <f>IF(X660&lt;&gt;"",IF(X660&lt;0.9,"S","F"),"")</f>
        <v/>
      </c>
      <c r="AA660" s="66"/>
      <c r="AB660" s="66"/>
      <c r="AC660" s="66"/>
      <c r="AD660" s="172"/>
      <c r="AE660" s="172"/>
      <c r="AF660" s="172"/>
      <c r="AG660" s="172"/>
      <c r="AH660" s="172"/>
      <c r="AI660" s="172"/>
      <c r="AJ660" s="172"/>
      <c r="AK660" s="172"/>
      <c r="AL660" s="172"/>
    </row>
    <row r="661" spans="1:38">
      <c r="A661" s="160"/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</row>
    <row r="662" spans="1:38">
      <c r="A662" s="160"/>
      <c r="B662" s="160"/>
      <c r="C662" s="160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</row>
    <row r="663" spans="1:38">
      <c r="A663" s="160"/>
      <c r="B663" s="160"/>
      <c r="C663" s="160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</row>
    <row r="664" spans="1:38">
      <c r="A664" s="160"/>
      <c r="B664" s="160"/>
      <c r="C664" s="160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</row>
    <row r="665" spans="1:38">
      <c r="A665" s="160"/>
      <c r="B665" s="160"/>
      <c r="C665" s="160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</row>
    <row r="666" spans="1:38">
      <c r="A666" s="160"/>
      <c r="B666" s="160"/>
      <c r="C666" s="160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</row>
    <row r="667" spans="1:38">
      <c r="A667" s="160"/>
      <c r="B667" s="160"/>
      <c r="C667" s="160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</row>
    <row r="668" spans="1:38">
      <c r="A668" s="160"/>
      <c r="B668" s="160"/>
      <c r="C668" s="160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</row>
    <row r="669" spans="1:38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</row>
    <row r="670" spans="1:38">
      <c r="A670" s="160"/>
      <c r="B670" s="160"/>
      <c r="C670" s="160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</row>
    <row r="671" spans="1:38">
      <c r="A671" s="160"/>
      <c r="B671" s="160"/>
      <c r="C671" s="160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</row>
    <row r="672" spans="1:38">
      <c r="A672" s="160"/>
      <c r="B672" s="160"/>
      <c r="C672" s="160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</row>
    <row r="673" spans="1:38">
      <c r="A673" s="160"/>
      <c r="B673" s="160"/>
      <c r="C673" s="160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</row>
    <row r="674" spans="1:38">
      <c r="A674" s="160"/>
      <c r="B674" s="160"/>
      <c r="C674" s="160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</row>
    <row r="675" spans="1:38">
      <c r="A675" s="160"/>
      <c r="B675" s="160"/>
      <c r="C675" s="160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</row>
    <row r="676" spans="1:38">
      <c r="A676" s="160"/>
      <c r="B676" s="160"/>
      <c r="C676" s="160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</row>
    <row r="677" spans="1:38">
      <c r="A677" s="160"/>
      <c r="B677" s="160"/>
      <c r="C677" s="160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</row>
    <row r="678" spans="1:38">
      <c r="A678" s="160"/>
      <c r="B678" s="160"/>
      <c r="C678" s="160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</row>
    <row r="679" spans="1:38">
      <c r="A679" s="160"/>
      <c r="B679" s="160"/>
      <c r="C679" s="160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</row>
    <row r="680" spans="1:38">
      <c r="A680" s="160"/>
      <c r="B680" s="160"/>
      <c r="C680" s="160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</row>
    <row r="681" spans="1:38">
      <c r="A681" s="160"/>
      <c r="B681" s="160"/>
      <c r="C681" s="160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</row>
    <row r="682" spans="1:38">
      <c r="A682" s="160"/>
      <c r="B682" s="160"/>
      <c r="C682" s="160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</row>
    <row r="683" spans="1:38">
      <c r="A683" s="160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</row>
    <row r="684" spans="1:38">
      <c r="A684" s="160"/>
      <c r="B684" s="160"/>
      <c r="C684" s="160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</row>
    <row r="685" spans="1:38">
      <c r="A685" s="160"/>
      <c r="B685" s="160"/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</row>
    <row r="686" spans="1:38">
      <c r="A686" s="160"/>
      <c r="B686" s="160"/>
      <c r="C686" s="160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60"/>
      <c r="AH686" s="160"/>
      <c r="AI686" s="160"/>
      <c r="AJ686" s="160"/>
      <c r="AK686" s="160"/>
      <c r="AL686" s="160"/>
    </row>
    <row r="687" spans="1:38">
      <c r="A687" s="160"/>
      <c r="B687" s="160"/>
      <c r="C687" s="160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</row>
    <row r="688" spans="1:38">
      <c r="A688" s="160"/>
      <c r="B688" s="160"/>
      <c r="C688" s="160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</row>
    <row r="689" spans="1:38">
      <c r="A689" s="160"/>
      <c r="B689" s="160"/>
      <c r="C689" s="160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</row>
    <row r="690" spans="1:38">
      <c r="A690" s="160"/>
      <c r="B690" s="160"/>
      <c r="C690" s="160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</row>
    <row r="691" spans="1:38">
      <c r="A691" s="160"/>
      <c r="B691" s="160"/>
      <c r="C691" s="160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</row>
    <row r="692" spans="1:38">
      <c r="A692" s="160"/>
      <c r="B692" s="160"/>
      <c r="C692" s="160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</row>
    <row r="693" spans="1:38">
      <c r="A693" s="160"/>
      <c r="B693" s="160"/>
      <c r="C693" s="160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</row>
  </sheetData>
  <sortState ref="A203:AL419">
    <sortCondition descending="1" ref="X203:X419"/>
    <sortCondition ref="Z203:Z419"/>
    <sortCondition descending="1" ref="Y203:Y419"/>
  </sortState>
  <dataValidations count="1">
    <dataValidation showInputMessage="1" showErrorMessage="1" sqref="A1"/>
  </dataValidation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3"/>
  <sheetViews>
    <sheetView topLeftCell="D1" workbookViewId="0">
      <pane ySplit="560" topLeftCell="A136" activePane="bottomLeft"/>
      <selection pane="bottomLeft" activeCell="AB162" sqref="AB162:AB164"/>
    </sheetView>
  </sheetViews>
  <sheetFormatPr baseColWidth="10" defaultRowHeight="15" x14ac:dyDescent="0"/>
  <cols>
    <col min="11" max="11" width="35.33203125" bestFit="1" customWidth="1"/>
    <col min="28" max="28" width="42.33203125" bestFit="1" customWidth="1"/>
  </cols>
  <sheetData>
    <row r="1" spans="1:38">
      <c r="A1" s="1" t="s">
        <v>0</v>
      </c>
      <c r="B1" s="1" t="s">
        <v>1</v>
      </c>
      <c r="C1" s="2" t="s">
        <v>2</v>
      </c>
      <c r="D1" s="2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1156</v>
      </c>
      <c r="W1" s="36" t="s">
        <v>1155</v>
      </c>
      <c r="X1" s="36" t="s">
        <v>1174</v>
      </c>
      <c r="Y1" s="36" t="s">
        <v>1154</v>
      </c>
      <c r="Z1" s="36" t="s">
        <v>1176</v>
      </c>
      <c r="AA1" s="36" t="s">
        <v>1395</v>
      </c>
      <c r="AC1" t="s">
        <v>1206</v>
      </c>
      <c r="AD1" t="s">
        <v>1207</v>
      </c>
      <c r="AE1" t="s">
        <v>1208</v>
      </c>
      <c r="AF1" t="s">
        <v>1209</v>
      </c>
      <c r="AG1" t="s">
        <v>1210</v>
      </c>
      <c r="AH1" s="172" t="s">
        <v>1211</v>
      </c>
    </row>
    <row r="2" spans="1:38" s="45" customFormat="1">
      <c r="A2" s="66"/>
      <c r="B2" s="67" t="s">
        <v>968</v>
      </c>
      <c r="C2" s="171">
        <v>1996</v>
      </c>
      <c r="D2" s="66"/>
      <c r="E2" s="73" t="s">
        <v>172</v>
      </c>
      <c r="F2" s="66"/>
      <c r="G2" s="66"/>
      <c r="H2" s="66" t="s">
        <v>302</v>
      </c>
      <c r="I2" s="66" t="s">
        <v>1014</v>
      </c>
      <c r="J2" s="66" t="s">
        <v>1013</v>
      </c>
      <c r="K2" s="54" t="s">
        <v>1013</v>
      </c>
      <c r="L2" s="54"/>
      <c r="M2" s="66"/>
      <c r="N2" s="66"/>
      <c r="O2" s="67" t="s">
        <v>1009</v>
      </c>
      <c r="P2" s="66"/>
      <c r="Q2" s="66"/>
      <c r="R2" s="66"/>
      <c r="S2" s="66"/>
      <c r="T2" s="66"/>
      <c r="U2" s="66">
        <v>0.81</v>
      </c>
      <c r="V2" s="66"/>
      <c r="W2" s="66">
        <f>168*28/12/2</f>
        <v>196</v>
      </c>
      <c r="X2" s="66">
        <f t="shared" ref="X2:X65" si="0">IF(R2&lt;&gt;0,IF(R2&gt;1,R2/100,R2),IF(U2&lt;&gt;0,IF(U2&gt;1,U2/100,U2),""))</f>
        <v>0.81</v>
      </c>
      <c r="Y2" s="206">
        <f>168*28/12/2</f>
        <v>196</v>
      </c>
      <c r="Z2" s="192" t="str">
        <f t="shared" ref="Z2:Z33" si="1">IF(X2&lt;&gt;"",IF(X2&lt;0.9,"S","F"),"")</f>
        <v>S</v>
      </c>
      <c r="AA2" t="s">
        <v>1396</v>
      </c>
      <c r="AB2" t="s">
        <v>1398</v>
      </c>
      <c r="AC2" s="310">
        <f>AVERAGE($Y$2:$Y$110)</f>
        <v>108.47248938944958</v>
      </c>
      <c r="AD2" s="310">
        <f>MEDIAN($Y$2:$Y$110)</f>
        <v>113.7</v>
      </c>
      <c r="AE2" s="310">
        <f>MAX($Y$2:$Y$110)</f>
        <v>196</v>
      </c>
      <c r="AF2" s="310">
        <f>MIN($Y$2:$Y$110)</f>
        <v>11.2</v>
      </c>
      <c r="AG2" s="310">
        <f>STDEV($Y$2:$Y$110)</f>
        <v>38.144868456714555</v>
      </c>
      <c r="AH2" s="310">
        <f>COUNT($Y$2:$Y$110)</f>
        <v>109</v>
      </c>
      <c r="AI2" s="172"/>
      <c r="AJ2" s="172"/>
      <c r="AK2" s="172"/>
      <c r="AL2" s="172"/>
    </row>
    <row r="3" spans="1:38" s="45" customFormat="1">
      <c r="A3" s="53">
        <v>4</v>
      </c>
      <c r="B3" s="60" t="s">
        <v>16</v>
      </c>
      <c r="C3" s="60">
        <v>1969</v>
      </c>
      <c r="D3" s="60" t="s">
        <v>17</v>
      </c>
      <c r="E3" s="56" t="s">
        <v>20</v>
      </c>
      <c r="F3" s="54">
        <v>1968</v>
      </c>
      <c r="G3" s="54" t="s">
        <v>21</v>
      </c>
      <c r="H3" s="54" t="s">
        <v>23</v>
      </c>
      <c r="I3" s="54"/>
      <c r="J3" s="54" t="s">
        <v>1013</v>
      </c>
      <c r="K3" s="54" t="s">
        <v>1087</v>
      </c>
      <c r="L3" s="54" t="s">
        <v>27</v>
      </c>
      <c r="M3" s="54"/>
      <c r="N3" s="54"/>
      <c r="O3" s="54" t="s">
        <v>28</v>
      </c>
      <c r="P3" s="54"/>
      <c r="Q3" s="54"/>
      <c r="R3" s="54"/>
      <c r="S3" s="54"/>
      <c r="T3" s="54"/>
      <c r="U3" s="54"/>
      <c r="V3" s="54"/>
      <c r="W3" s="54"/>
      <c r="X3" s="66" t="str">
        <f t="shared" si="0"/>
        <v/>
      </c>
      <c r="Y3" s="71">
        <v>32</v>
      </c>
      <c r="Z3" s="192" t="str">
        <f t="shared" si="1"/>
        <v/>
      </c>
      <c r="AA3" t="s">
        <v>1396</v>
      </c>
      <c r="AB3" t="s">
        <v>1399</v>
      </c>
      <c r="AC3" s="310">
        <f>AVERAGE($Y$4:$Y$6,$Y$9:$Y$24,$Y$70:$Y$88,$Y$91:$Y$92,$Y$94:$Y$96,$Y$100,$Y$102,$Y$104:$Y$109)</f>
        <v>83.607040546078409</v>
      </c>
      <c r="AD3" s="310">
        <f>MEDIAN($Y$4:$Y$6,$Y$9:$Y$24,$Y$70:$Y$88,$Y$91:$Y$92,$Y$94:$Y$96,$Y$100,$Y$102,$Y$104:$Y$109)</f>
        <v>92.346491639999996</v>
      </c>
      <c r="AE3" s="310">
        <f>MAX($Y$4:$Y$6,$Y$9:$Y$24,$Y$70:$Y$88,$Y$91:$Y$92,$Y$94:$Y$96,$Y$100,$Y$102,$Y$104:$Y$109)</f>
        <v>115.3</v>
      </c>
      <c r="AF3" s="310">
        <f>MIN($Y$4:$Y$6,$Y$9:$Y$24,$Y$70:$Y$88,$Y$91:$Y$92,$Y$94:$Y$96,$Y$100,$Y$102,$Y$104:$Y$109)</f>
        <v>11.2</v>
      </c>
      <c r="AG3" s="310">
        <f>STDEV($Y$4:$Y$6,$Y$9:$Y$24,$Y$70:$Y$88,$Y$91:$Y$92,$Y$94:$Y$96,$Y$100,$Y$102,$Y$104:$Y$109)</f>
        <v>28.041265235844573</v>
      </c>
      <c r="AH3" s="310">
        <f>COUNT($Y$4:$Y$6,$Y$9:$Y$24,$Y$70:$Y$88,$Y$91:$Y$92,$Y$94:$Y$96,$Y$100,$Y$102,$Y$104:$Y$109)</f>
        <v>51</v>
      </c>
      <c r="AI3" s="172"/>
      <c r="AJ3" s="172"/>
      <c r="AK3" s="172"/>
      <c r="AL3" s="172"/>
    </row>
    <row r="4" spans="1:38" s="45" customFormat="1">
      <c r="A4" s="53">
        <v>174</v>
      </c>
      <c r="B4" s="54" t="s">
        <v>697</v>
      </c>
      <c r="C4" s="54">
        <v>2009</v>
      </c>
      <c r="D4" s="78" t="s">
        <v>698</v>
      </c>
      <c r="E4" s="56" t="s">
        <v>20</v>
      </c>
      <c r="F4" s="57" t="s">
        <v>701</v>
      </c>
      <c r="G4" s="54" t="s">
        <v>705</v>
      </c>
      <c r="H4" s="54" t="s">
        <v>159</v>
      </c>
      <c r="I4" s="54"/>
      <c r="J4" s="66" t="s">
        <v>1013</v>
      </c>
      <c r="K4" s="54" t="s">
        <v>1087</v>
      </c>
      <c r="L4" s="54" t="s">
        <v>464</v>
      </c>
      <c r="M4" s="59"/>
      <c r="N4" s="59"/>
      <c r="O4" s="54" t="s">
        <v>464</v>
      </c>
      <c r="P4" s="60"/>
      <c r="Q4" s="60"/>
      <c r="R4" s="54"/>
      <c r="S4" s="54"/>
      <c r="T4" s="54"/>
      <c r="U4" s="61">
        <v>0.90600000000000003</v>
      </c>
      <c r="V4" s="61"/>
      <c r="W4" s="61"/>
      <c r="X4" s="66">
        <f t="shared" si="0"/>
        <v>0.90600000000000003</v>
      </c>
      <c r="Y4" s="71">
        <v>106.8</v>
      </c>
      <c r="Z4" s="192" t="str">
        <f t="shared" si="1"/>
        <v>F</v>
      </c>
      <c r="AA4" t="s">
        <v>1396</v>
      </c>
      <c r="AB4" t="s">
        <v>1400</v>
      </c>
      <c r="AC4" s="310">
        <f>AVERAGE($Y$2,$Y$25:$Y$66,$Y$89,$Y$90,$Y$93,$Y$97,$Y$101,$Y$103,$Y$110)</f>
        <v>139.830845512</v>
      </c>
      <c r="AD4" s="310">
        <f>MEDIAN($Y$2,$Y$25:$Y$66,$Y$89,$Y$90,$Y$93,$Y$97,$Y$101,$Y$103,$Y$110)</f>
        <v>137.19999999999999</v>
      </c>
      <c r="AE4" s="310">
        <f>MAX($Y$2,$Y$25:$Y$66,$Y$89,$Y$90,$Y$93,$Y$97,$Y$101,$Y$103,$Y$110)</f>
        <v>196</v>
      </c>
      <c r="AF4" s="310">
        <f>MIN($Y$2,$Y$25:$Y$66,$Y$89,$Y$90,$Y$93,$Y$97,$Y$101,$Y$103,$Y$110)</f>
        <v>113.6</v>
      </c>
      <c r="AG4" s="310">
        <f>STDEV($Y$2,$Y$25:$Y$66,$Y$89,$Y$90,$Y$93,$Y$97,$Y$101,$Y$103,$Y$110)</f>
        <v>16.847501234347657</v>
      </c>
      <c r="AH4" s="310">
        <f>COUNT($Y$2,$Y$25:$Y$66,$Y$89,$Y$90,$Y$93,$Y$97,$Y$101,$Y$103,$Y$110)</f>
        <v>50</v>
      </c>
      <c r="AI4" s="172"/>
      <c r="AJ4" s="172"/>
      <c r="AK4" s="172"/>
      <c r="AL4" s="172"/>
    </row>
    <row r="5" spans="1:38" s="45" customFormat="1">
      <c r="A5" s="53">
        <v>118</v>
      </c>
      <c r="B5" s="73" t="s">
        <v>399</v>
      </c>
      <c r="C5" s="54">
        <v>1999</v>
      </c>
      <c r="D5" s="73" t="s">
        <v>400</v>
      </c>
      <c r="E5" s="56" t="s">
        <v>20</v>
      </c>
      <c r="F5" s="54">
        <v>1999</v>
      </c>
      <c r="G5" s="54" t="s">
        <v>326</v>
      </c>
      <c r="H5" s="54" t="s">
        <v>159</v>
      </c>
      <c r="I5" s="54"/>
      <c r="J5" s="66" t="s">
        <v>1013</v>
      </c>
      <c r="K5" s="54" t="s">
        <v>1054</v>
      </c>
      <c r="L5" s="54" t="s">
        <v>405</v>
      </c>
      <c r="M5" s="54"/>
      <c r="N5" s="54"/>
      <c r="O5" s="54">
        <v>3</v>
      </c>
      <c r="P5" s="54"/>
      <c r="Q5" s="54"/>
      <c r="R5" s="54"/>
      <c r="S5" s="54"/>
      <c r="T5" s="54"/>
      <c r="U5" s="54">
        <v>0.95</v>
      </c>
      <c r="V5" s="54"/>
      <c r="W5" s="54"/>
      <c r="X5" s="66">
        <f t="shared" si="0"/>
        <v>0.95</v>
      </c>
      <c r="Y5" s="71">
        <v>58.8</v>
      </c>
      <c r="Z5" s="192" t="str">
        <f t="shared" si="1"/>
        <v>F</v>
      </c>
      <c r="AA5" t="s">
        <v>1396</v>
      </c>
      <c r="AI5" s="172"/>
      <c r="AJ5" s="172"/>
      <c r="AK5" s="172"/>
      <c r="AL5" s="172"/>
    </row>
    <row r="6" spans="1:38" s="45" customFormat="1">
      <c r="A6" s="53">
        <v>172</v>
      </c>
      <c r="B6" s="54" t="s">
        <v>585</v>
      </c>
      <c r="C6" s="54">
        <v>2010</v>
      </c>
      <c r="D6" s="54" t="s">
        <v>586</v>
      </c>
      <c r="E6" s="56" t="s">
        <v>589</v>
      </c>
      <c r="F6" s="57">
        <v>40234</v>
      </c>
      <c r="G6" s="54" t="s">
        <v>631</v>
      </c>
      <c r="H6" s="54" t="s">
        <v>159</v>
      </c>
      <c r="I6" s="54"/>
      <c r="J6" s="66" t="s">
        <v>1013</v>
      </c>
      <c r="K6" s="54" t="s">
        <v>1068</v>
      </c>
      <c r="L6" s="54" t="s">
        <v>632</v>
      </c>
      <c r="M6" s="88" t="s">
        <v>633</v>
      </c>
      <c r="N6" s="88"/>
      <c r="O6" s="54"/>
      <c r="P6" s="60"/>
      <c r="Q6" s="60"/>
      <c r="R6" s="54"/>
      <c r="S6" s="54"/>
      <c r="T6" s="54"/>
      <c r="U6" s="61">
        <v>0.93400000000000005</v>
      </c>
      <c r="V6" s="70"/>
      <c r="W6" s="70"/>
      <c r="X6" s="66">
        <f t="shared" si="0"/>
        <v>0.93400000000000005</v>
      </c>
      <c r="Y6" s="71">
        <v>80.61</v>
      </c>
      <c r="Z6" s="192" t="str">
        <f t="shared" si="1"/>
        <v>F</v>
      </c>
      <c r="AA6" s="66" t="s">
        <v>1396</v>
      </c>
      <c r="AB6" t="s">
        <v>1390</v>
      </c>
      <c r="AC6" s="310">
        <f>AVERAGE($Y$111:$Y$213)</f>
        <v>149.00873786407769</v>
      </c>
      <c r="AD6" s="310">
        <f>MEDIAN($Y$111:$Y$213)</f>
        <v>151</v>
      </c>
      <c r="AE6" s="310">
        <f>MAX($Y$111:$Y$213)</f>
        <v>359</v>
      </c>
      <c r="AF6" s="310">
        <f>MIN($Y$111:$Y$213)</f>
        <v>19</v>
      </c>
      <c r="AG6" s="310">
        <f>STDEV($Y$111:$Y$213)</f>
        <v>76.795326110666906</v>
      </c>
      <c r="AH6" s="310">
        <f>COUNT($Y$111:$Y$213)</f>
        <v>103</v>
      </c>
      <c r="AI6" s="172"/>
      <c r="AJ6" s="172"/>
      <c r="AK6" s="172"/>
      <c r="AL6" s="172"/>
    </row>
    <row r="7" spans="1:38" s="45" customFormat="1">
      <c r="A7" s="53">
        <v>4</v>
      </c>
      <c r="B7" s="60" t="s">
        <v>16</v>
      </c>
      <c r="C7" s="60">
        <v>1969</v>
      </c>
      <c r="D7" s="60" t="s">
        <v>17</v>
      </c>
      <c r="E7" s="56" t="s">
        <v>20</v>
      </c>
      <c r="F7" s="54">
        <v>1968</v>
      </c>
      <c r="G7" s="54" t="s">
        <v>21</v>
      </c>
      <c r="H7" s="54" t="s">
        <v>23</v>
      </c>
      <c r="I7" s="54"/>
      <c r="J7" s="54" t="s">
        <v>1013</v>
      </c>
      <c r="K7" s="54" t="s">
        <v>1168</v>
      </c>
      <c r="L7" s="54" t="s">
        <v>24</v>
      </c>
      <c r="M7" s="54"/>
      <c r="N7" s="54"/>
      <c r="O7" s="54" t="s">
        <v>26</v>
      </c>
      <c r="P7" s="54"/>
      <c r="Q7" s="54"/>
      <c r="R7" s="54"/>
      <c r="S7" s="54"/>
      <c r="T7" s="54"/>
      <c r="U7" s="54"/>
      <c r="V7" s="54"/>
      <c r="W7" s="54"/>
      <c r="X7" s="66" t="str">
        <f t="shared" si="0"/>
        <v/>
      </c>
      <c r="Y7" s="71">
        <v>46</v>
      </c>
      <c r="Z7" s="192" t="str">
        <f t="shared" si="1"/>
        <v/>
      </c>
      <c r="AA7" s="66" t="s">
        <v>1396</v>
      </c>
      <c r="AB7" t="s">
        <v>1325</v>
      </c>
      <c r="AC7" s="257">
        <f>AVERAGE($Y$111:$Y$120,$Y$143:$Y$146,$Y$152:$Y$154,$Y$166:$Y$175)</f>
        <v>60.723456790123457</v>
      </c>
      <c r="AD7" s="257">
        <f>MEDIAN($Y$111:$Y$120,$Y$143:$Y$146,$Y$152:$Y$154,$Y$166:$Y$175)</f>
        <v>59</v>
      </c>
      <c r="AE7" s="257">
        <f>MAX($Y$111:$Y$120,$Y$143:$Y$146,$Y$152:$Y$154,$Y$166:$Y$175)</f>
        <v>137.66666666666666</v>
      </c>
      <c r="AF7" s="257">
        <f>MIN($Y$111:$Y$120,$Y$143:$Y$146,$Y$152:$Y$154,$Y$166:$Y$175)</f>
        <v>19</v>
      </c>
      <c r="AG7" s="257">
        <f>STDEV($Y$111:$Y$120,$Y$143:$Y$146,$Y$152:$Y$154,$Y$166:$Y$175)</f>
        <v>25.253989808864347</v>
      </c>
      <c r="AH7" s="257">
        <f>COUNT($Y$111:$Y$120,$Y$143:$Y$146,$Y$152:$Y$154,$Y$166:$Y$175)</f>
        <v>27</v>
      </c>
      <c r="AI7" s="172"/>
      <c r="AJ7" s="172"/>
      <c r="AK7" s="172"/>
      <c r="AL7" s="172"/>
    </row>
    <row r="8" spans="1:38" s="45" customFormat="1">
      <c r="A8" s="53">
        <v>4</v>
      </c>
      <c r="B8" s="60" t="s">
        <v>16</v>
      </c>
      <c r="C8" s="60">
        <v>1969</v>
      </c>
      <c r="D8" s="60" t="s">
        <v>17</v>
      </c>
      <c r="E8" s="56" t="s">
        <v>20</v>
      </c>
      <c r="F8" s="54">
        <v>1968</v>
      </c>
      <c r="G8" s="54" t="s">
        <v>21</v>
      </c>
      <c r="H8" s="54" t="s">
        <v>23</v>
      </c>
      <c r="I8" s="54"/>
      <c r="J8" s="54" t="s">
        <v>1013</v>
      </c>
      <c r="K8" s="54" t="s">
        <v>1168</v>
      </c>
      <c r="L8" s="54" t="s">
        <v>24</v>
      </c>
      <c r="M8" s="54"/>
      <c r="N8" s="54"/>
      <c r="O8" s="54" t="s">
        <v>25</v>
      </c>
      <c r="P8" s="54"/>
      <c r="Q8" s="54"/>
      <c r="R8" s="54"/>
      <c r="S8" s="54"/>
      <c r="T8" s="54"/>
      <c r="U8" s="54"/>
      <c r="V8" s="54"/>
      <c r="W8" s="54"/>
      <c r="X8" s="66" t="str">
        <f t="shared" si="0"/>
        <v/>
      </c>
      <c r="Y8" s="71">
        <v>30</v>
      </c>
      <c r="Z8" s="192" t="str">
        <f t="shared" si="1"/>
        <v/>
      </c>
      <c r="AA8" s="66" t="s">
        <v>1396</v>
      </c>
      <c r="AB8" t="s">
        <v>1326</v>
      </c>
      <c r="AC8" s="257">
        <f>AVERAGE($Y$121:$Y$133,$Y$147:$Y$150,$Y$155:$Y$159,$Y$187:$Y$195)</f>
        <v>137.51612903225808</v>
      </c>
      <c r="AD8" s="257">
        <f>MEDIAN($Y$121:$Y$133,$Y$147:$Y$150,$Y$155:$Y$159,$Y$187:$Y$195)</f>
        <v>130</v>
      </c>
      <c r="AE8" s="257">
        <f>MAX($Y$121:$Y$133,$Y$147:$Y$150,$Y$155:$Y$159,$Y$187:$Y$195)</f>
        <v>198</v>
      </c>
      <c r="AF8" s="257">
        <f>MIN($Y$121:$Y$133,$Y$147:$Y$150,$Y$155:$Y$159,$Y$187:$Y$195)</f>
        <v>73</v>
      </c>
      <c r="AG8" s="257">
        <f>STDEV($Y$121:$Y$133,$Y$147:$Y$150,$Y$155:$Y$159,$Y$187:$Y$195)</f>
        <v>37.755238901589927</v>
      </c>
      <c r="AH8" s="257">
        <f>COUNT($Y$121:$Y$133,$Y$147:$Y$150,$Y$155:$Y$159,$Y$187:$Y$195)</f>
        <v>31</v>
      </c>
      <c r="AI8" s="172"/>
      <c r="AJ8" s="172"/>
      <c r="AK8" s="172"/>
      <c r="AL8" s="172"/>
    </row>
    <row r="9" spans="1:38" s="107" customFormat="1">
      <c r="A9" s="97">
        <v>203</v>
      </c>
      <c r="B9" s="123" t="s">
        <v>940</v>
      </c>
      <c r="C9" s="98">
        <v>2011</v>
      </c>
      <c r="D9" s="123" t="s">
        <v>941</v>
      </c>
      <c r="E9" s="99" t="s">
        <v>20</v>
      </c>
      <c r="F9" s="98">
        <v>2009</v>
      </c>
      <c r="G9" s="98" t="s">
        <v>326</v>
      </c>
      <c r="H9" s="98"/>
      <c r="I9" s="98"/>
      <c r="J9" s="101" t="s">
        <v>1013</v>
      </c>
      <c r="K9" s="98" t="s">
        <v>1091</v>
      </c>
      <c r="L9" s="98" t="s">
        <v>725</v>
      </c>
      <c r="M9" s="98"/>
      <c r="N9" s="98"/>
      <c r="O9" s="98">
        <v>38</v>
      </c>
      <c r="P9" s="98"/>
      <c r="Q9" s="98"/>
      <c r="R9" s="98"/>
      <c r="S9" s="98"/>
      <c r="T9" s="98"/>
      <c r="U9" s="98">
        <v>0.93</v>
      </c>
      <c r="V9" s="98"/>
      <c r="W9" s="98"/>
      <c r="X9" s="101">
        <f t="shared" si="0"/>
        <v>0.93</v>
      </c>
      <c r="Y9" s="122">
        <v>82.9</v>
      </c>
      <c r="Z9" s="106" t="str">
        <f t="shared" si="1"/>
        <v>F</v>
      </c>
      <c r="AA9" s="101" t="s">
        <v>1396</v>
      </c>
      <c r="AB9" s="101"/>
      <c r="AC9" s="101"/>
      <c r="AD9" s="174"/>
      <c r="AE9" s="174"/>
      <c r="AF9" s="174"/>
      <c r="AG9" s="174"/>
      <c r="AH9" s="174"/>
      <c r="AI9" s="174"/>
      <c r="AJ9" s="174"/>
      <c r="AK9" s="174"/>
      <c r="AL9" s="174"/>
    </row>
    <row r="10" spans="1:38" s="107" customFormat="1">
      <c r="A10" s="101"/>
      <c r="B10" s="123" t="s">
        <v>766</v>
      </c>
      <c r="C10" s="98">
        <v>2013</v>
      </c>
      <c r="D10" s="101"/>
      <c r="E10" s="99" t="s">
        <v>172</v>
      </c>
      <c r="F10" s="98">
        <v>2011</v>
      </c>
      <c r="G10" s="98" t="s">
        <v>631</v>
      </c>
      <c r="H10" s="101" t="s">
        <v>159</v>
      </c>
      <c r="I10" s="101" t="s">
        <v>1014</v>
      </c>
      <c r="J10" s="115" t="s">
        <v>1013</v>
      </c>
      <c r="K10" s="98" t="s">
        <v>1091</v>
      </c>
      <c r="L10" s="98" t="s">
        <v>974</v>
      </c>
      <c r="M10" s="101"/>
      <c r="N10" s="101"/>
      <c r="O10" s="101" t="s">
        <v>972</v>
      </c>
      <c r="P10" s="101"/>
      <c r="Q10" s="101"/>
      <c r="R10" s="101"/>
      <c r="S10" s="101"/>
      <c r="T10" s="101"/>
      <c r="U10" s="98">
        <v>0.92300000000000004</v>
      </c>
      <c r="V10" s="101"/>
      <c r="W10" s="101"/>
      <c r="X10" s="101">
        <f t="shared" si="0"/>
        <v>0.92300000000000004</v>
      </c>
      <c r="Y10" s="122">
        <v>89.3</v>
      </c>
      <c r="Z10" s="106" t="str">
        <f t="shared" si="1"/>
        <v>F</v>
      </c>
      <c r="AA10" s="101" t="s">
        <v>1396</v>
      </c>
      <c r="AB10" s="101" t="s">
        <v>1388</v>
      </c>
      <c r="AC10" s="292">
        <f>AVERAGE($Y$9:$Y$66)</f>
        <v>129.81034482758625</v>
      </c>
      <c r="AD10" s="292">
        <f>MEDIAN($Y$9:$Y$66)</f>
        <v>128.4</v>
      </c>
      <c r="AE10" s="292">
        <f>MAX($Y$9:$Y$66)</f>
        <v>178.7</v>
      </c>
      <c r="AF10" s="292">
        <f>MIN($Y$9:$Y$66)</f>
        <v>82.9</v>
      </c>
      <c r="AG10" s="292">
        <f>STDEV($Y$9:$Y$66)</f>
        <v>20.903552033046896</v>
      </c>
      <c r="AH10" s="292">
        <f>COUNT($Y$9:$Y$66)</f>
        <v>58</v>
      </c>
      <c r="AI10" s="174"/>
      <c r="AJ10" s="174"/>
      <c r="AK10" s="174"/>
      <c r="AL10" s="174"/>
    </row>
    <row r="11" spans="1:38" s="107" customFormat="1">
      <c r="A11" s="97">
        <v>174</v>
      </c>
      <c r="B11" s="98" t="s">
        <v>697</v>
      </c>
      <c r="C11" s="98">
        <v>2009</v>
      </c>
      <c r="D11" s="108" t="s">
        <v>698</v>
      </c>
      <c r="E11" s="99" t="s">
        <v>20</v>
      </c>
      <c r="F11" s="100" t="s">
        <v>701</v>
      </c>
      <c r="G11" s="98" t="s">
        <v>705</v>
      </c>
      <c r="H11" s="98" t="s">
        <v>159</v>
      </c>
      <c r="I11" s="98"/>
      <c r="J11" s="101" t="s">
        <v>1013</v>
      </c>
      <c r="K11" s="98" t="s">
        <v>1091</v>
      </c>
      <c r="L11" s="98" t="s">
        <v>725</v>
      </c>
      <c r="M11" s="109"/>
      <c r="N11" s="109"/>
      <c r="O11" s="98" t="s">
        <v>725</v>
      </c>
      <c r="P11" s="103"/>
      <c r="Q11" s="103"/>
      <c r="R11" s="98"/>
      <c r="S11" s="98"/>
      <c r="T11" s="98"/>
      <c r="U11" s="104">
        <v>0.92</v>
      </c>
      <c r="V11" s="104"/>
      <c r="W11" s="104"/>
      <c r="X11" s="101">
        <f t="shared" si="0"/>
        <v>0.92</v>
      </c>
      <c r="Y11" s="122">
        <v>84.6</v>
      </c>
      <c r="Z11" s="106" t="str">
        <f t="shared" si="1"/>
        <v>F</v>
      </c>
      <c r="AA11" s="101" t="s">
        <v>1396</v>
      </c>
      <c r="AB11" s="101" t="s">
        <v>1319</v>
      </c>
      <c r="AC11" s="292">
        <f>AVERAGE($Y$9:$Y$24)</f>
        <v>104.8</v>
      </c>
      <c r="AD11" s="292">
        <f>MEDIAN($Y$9:$Y$24)</f>
        <v>112.69999999999999</v>
      </c>
      <c r="AE11" s="292">
        <f>MAX($Y$9:$Y$24)</f>
        <v>115.3</v>
      </c>
      <c r="AF11" s="292">
        <f>MIN($Y$9:$Y$24)</f>
        <v>82.9</v>
      </c>
      <c r="AG11" s="292">
        <f>STDEV($Y$9:$Y$24)</f>
        <v>12.190050587808679</v>
      </c>
      <c r="AH11" s="292">
        <f>COUNT($Y$9:$Y$24)</f>
        <v>16</v>
      </c>
      <c r="AI11" s="174"/>
      <c r="AJ11" s="174"/>
      <c r="AK11" s="174"/>
      <c r="AL11" s="174"/>
    </row>
    <row r="12" spans="1:38" s="107" customFormat="1">
      <c r="A12" s="101"/>
      <c r="B12" s="123" t="s">
        <v>766</v>
      </c>
      <c r="C12" s="98">
        <v>2013</v>
      </c>
      <c r="D12" s="101"/>
      <c r="E12" s="99" t="s">
        <v>172</v>
      </c>
      <c r="F12" s="98">
        <v>2011</v>
      </c>
      <c r="G12" s="98" t="s">
        <v>631</v>
      </c>
      <c r="H12" s="101" t="s">
        <v>159</v>
      </c>
      <c r="I12" s="101" t="s">
        <v>1014</v>
      </c>
      <c r="J12" s="115" t="s">
        <v>1013</v>
      </c>
      <c r="K12" s="98" t="s">
        <v>1091</v>
      </c>
      <c r="L12" s="98" t="s">
        <v>978</v>
      </c>
      <c r="M12" s="101"/>
      <c r="N12" s="101"/>
      <c r="O12" s="101" t="s">
        <v>977</v>
      </c>
      <c r="P12" s="101"/>
      <c r="Q12" s="101"/>
      <c r="R12" s="101"/>
      <c r="S12" s="101"/>
      <c r="T12" s="101"/>
      <c r="U12" s="98">
        <v>0.91800000000000004</v>
      </c>
      <c r="V12" s="101"/>
      <c r="W12" s="101"/>
      <c r="X12" s="101">
        <f t="shared" si="0"/>
        <v>0.91800000000000004</v>
      </c>
      <c r="Y12" s="122">
        <v>94.9</v>
      </c>
      <c r="Z12" s="106" t="str">
        <f t="shared" si="1"/>
        <v>F</v>
      </c>
      <c r="AA12" s="101" t="s">
        <v>1396</v>
      </c>
      <c r="AB12" s="101" t="s">
        <v>1320</v>
      </c>
      <c r="AC12" s="292">
        <f>AVERAGE($Y$25:$Y$66)</f>
        <v>139.33809523809524</v>
      </c>
      <c r="AD12" s="292">
        <f>MEDIAN($Y$25:$Y$66)</f>
        <v>140.1</v>
      </c>
      <c r="AE12" s="292">
        <f>MAX($Y$25:$Y$66)</f>
        <v>178.7</v>
      </c>
      <c r="AF12" s="292">
        <f>MIN($Y$25:$Y$66)</f>
        <v>117.2</v>
      </c>
      <c r="AG12" s="292">
        <f>STDEV($Y$25:$Y$66)</f>
        <v>14.697535090851407</v>
      </c>
      <c r="AH12" s="292">
        <f>COUNT($Y$25:$Y$66)</f>
        <v>42</v>
      </c>
      <c r="AI12" s="174"/>
      <c r="AJ12" s="174"/>
      <c r="AK12" s="174"/>
      <c r="AL12" s="174"/>
    </row>
    <row r="13" spans="1:38" s="107" customFormat="1">
      <c r="A13" s="101"/>
      <c r="B13" s="123" t="s">
        <v>766</v>
      </c>
      <c r="C13" s="98">
        <v>2013</v>
      </c>
      <c r="D13" s="101"/>
      <c r="E13" s="99" t="s">
        <v>172</v>
      </c>
      <c r="F13" s="98">
        <v>2011</v>
      </c>
      <c r="G13" s="98" t="s">
        <v>631</v>
      </c>
      <c r="H13" s="101" t="s">
        <v>159</v>
      </c>
      <c r="I13" s="101" t="s">
        <v>1014</v>
      </c>
      <c r="J13" s="115" t="s">
        <v>1013</v>
      </c>
      <c r="K13" s="98" t="s">
        <v>1091</v>
      </c>
      <c r="L13" s="98" t="s">
        <v>975</v>
      </c>
      <c r="M13" s="101"/>
      <c r="N13" s="101"/>
      <c r="O13" s="101" t="s">
        <v>976</v>
      </c>
      <c r="P13" s="101"/>
      <c r="Q13" s="101"/>
      <c r="R13" s="101"/>
      <c r="S13" s="101"/>
      <c r="T13" s="101"/>
      <c r="U13" s="98">
        <v>0.91600000000000004</v>
      </c>
      <c r="V13" s="101"/>
      <c r="W13" s="101"/>
      <c r="X13" s="101">
        <f t="shared" si="0"/>
        <v>0.91600000000000004</v>
      </c>
      <c r="Y13" s="122">
        <v>97.4</v>
      </c>
      <c r="Z13" s="106" t="str">
        <f t="shared" si="1"/>
        <v>F</v>
      </c>
      <c r="AA13" s="101" t="s">
        <v>1396</v>
      </c>
      <c r="AB13" s="101"/>
      <c r="AC13" s="101"/>
      <c r="AD13" s="174"/>
      <c r="AE13" s="174"/>
      <c r="AF13" s="174"/>
      <c r="AG13" s="174"/>
      <c r="AH13" s="174"/>
      <c r="AI13" s="174"/>
      <c r="AJ13" s="174"/>
      <c r="AK13" s="174"/>
      <c r="AL13" s="174"/>
    </row>
    <row r="14" spans="1:38" s="107" customFormat="1">
      <c r="A14" s="97">
        <v>174</v>
      </c>
      <c r="B14" s="98" t="s">
        <v>697</v>
      </c>
      <c r="C14" s="98">
        <v>2009</v>
      </c>
      <c r="D14" s="108" t="s">
        <v>698</v>
      </c>
      <c r="E14" s="99" t="s">
        <v>20</v>
      </c>
      <c r="F14" s="100" t="s">
        <v>701</v>
      </c>
      <c r="G14" s="98" t="s">
        <v>705</v>
      </c>
      <c r="H14" s="98" t="s">
        <v>159</v>
      </c>
      <c r="I14" s="98"/>
      <c r="J14" s="101" t="s">
        <v>1013</v>
      </c>
      <c r="K14" s="98" t="s">
        <v>1091</v>
      </c>
      <c r="L14" s="98" t="s">
        <v>712</v>
      </c>
      <c r="M14" s="109"/>
      <c r="N14" s="109"/>
      <c r="O14" s="98" t="s">
        <v>713</v>
      </c>
      <c r="P14" s="103"/>
      <c r="Q14" s="103"/>
      <c r="R14" s="98"/>
      <c r="S14" s="98"/>
      <c r="T14" s="98"/>
      <c r="U14" s="104">
        <v>0.91500000000000004</v>
      </c>
      <c r="V14" s="104"/>
      <c r="W14" s="104"/>
      <c r="X14" s="101">
        <f t="shared" si="0"/>
        <v>0.91500000000000004</v>
      </c>
      <c r="Y14" s="122">
        <v>92</v>
      </c>
      <c r="Z14" s="106" t="str">
        <f t="shared" si="1"/>
        <v>F</v>
      </c>
      <c r="AA14" s="101" t="s">
        <v>1396</v>
      </c>
      <c r="AB14" s="101" t="s">
        <v>1389</v>
      </c>
      <c r="AC14" s="292">
        <f>AVERAGE($Y$69:$Y$90)</f>
        <v>96.072333793181812</v>
      </c>
      <c r="AD14" s="292">
        <f>MEDIAN($Y$69:$Y$90)</f>
        <v>93.95326664000001</v>
      </c>
      <c r="AE14" s="292">
        <f>MAX($Y$69:$Y$90)</f>
        <v>150</v>
      </c>
      <c r="AF14" s="292">
        <f>MIN($Y$69:$Y$90)</f>
        <v>59.429581040000002</v>
      </c>
      <c r="AG14" s="292">
        <f>STDEV($Y$69:$Y$90)</f>
        <v>18.510094733442514</v>
      </c>
      <c r="AH14" s="292">
        <f>COUNT($Y$69:$Y$90)</f>
        <v>22</v>
      </c>
      <c r="AI14" s="174"/>
      <c r="AJ14" s="174"/>
      <c r="AK14" s="174"/>
      <c r="AL14" s="174"/>
    </row>
    <row r="15" spans="1:38" s="107" customFormat="1">
      <c r="A15" s="101"/>
      <c r="B15" s="123" t="s">
        <v>766</v>
      </c>
      <c r="C15" s="98">
        <v>2013</v>
      </c>
      <c r="D15" s="101"/>
      <c r="E15" s="99" t="s">
        <v>172</v>
      </c>
      <c r="F15" s="98">
        <v>2011</v>
      </c>
      <c r="G15" s="98" t="s">
        <v>631</v>
      </c>
      <c r="H15" s="101" t="s">
        <v>159</v>
      </c>
      <c r="I15" s="101" t="s">
        <v>1014</v>
      </c>
      <c r="J15" s="115" t="s">
        <v>1013</v>
      </c>
      <c r="K15" s="98" t="s">
        <v>1091</v>
      </c>
      <c r="L15" s="98" t="s">
        <v>975</v>
      </c>
      <c r="M15" s="101"/>
      <c r="N15" s="101"/>
      <c r="O15" s="101" t="s">
        <v>976</v>
      </c>
      <c r="P15" s="101"/>
      <c r="Q15" s="101"/>
      <c r="R15" s="101"/>
      <c r="S15" s="101"/>
      <c r="T15" s="101"/>
      <c r="U15" s="98">
        <v>0.90400000000000003</v>
      </c>
      <c r="V15" s="101"/>
      <c r="W15" s="101"/>
      <c r="X15" s="101">
        <f t="shared" si="0"/>
        <v>0.90400000000000003</v>
      </c>
      <c r="Y15" s="122">
        <v>110.9</v>
      </c>
      <c r="Z15" s="106" t="str">
        <f t="shared" si="1"/>
        <v>F</v>
      </c>
      <c r="AA15" s="101" t="s">
        <v>1396</v>
      </c>
      <c r="AB15" s="101" t="s">
        <v>1321</v>
      </c>
      <c r="AC15" s="292">
        <f>AVERAGE($Y$70:$Y$88)</f>
        <v>90.697319360526322</v>
      </c>
      <c r="AD15" s="292">
        <f>MEDIAN($Y$70:$Y$88)</f>
        <v>93.098951159999999</v>
      </c>
      <c r="AE15" s="292">
        <f>MAX($Y$70:$Y$88)</f>
        <v>107.0830895</v>
      </c>
      <c r="AF15" s="292">
        <f>MIN($Y$70:$Y$88)</f>
        <v>59.429581040000002</v>
      </c>
      <c r="AG15" s="292">
        <f>STDEV($Y$70:$Y$88)</f>
        <v>11.761786828969521</v>
      </c>
      <c r="AH15" s="292">
        <f>COUNT($Y$70:$Y$88)</f>
        <v>19</v>
      </c>
      <c r="AI15" s="174"/>
      <c r="AJ15" s="174"/>
      <c r="AK15" s="174"/>
      <c r="AL15" s="174"/>
    </row>
    <row r="16" spans="1:38" s="107" customFormat="1">
      <c r="A16" s="101"/>
      <c r="B16" s="123" t="s">
        <v>766</v>
      </c>
      <c r="C16" s="98">
        <v>2013</v>
      </c>
      <c r="D16" s="101"/>
      <c r="E16" s="99" t="s">
        <v>172</v>
      </c>
      <c r="F16" s="98">
        <v>2011</v>
      </c>
      <c r="G16" s="98" t="s">
        <v>631</v>
      </c>
      <c r="H16" s="101" t="s">
        <v>159</v>
      </c>
      <c r="I16" s="101" t="s">
        <v>1014</v>
      </c>
      <c r="J16" s="115" t="s">
        <v>1013</v>
      </c>
      <c r="K16" s="98" t="s">
        <v>1091</v>
      </c>
      <c r="L16" s="98" t="s">
        <v>975</v>
      </c>
      <c r="M16" s="101"/>
      <c r="N16" s="101"/>
      <c r="O16" s="101" t="s">
        <v>976</v>
      </c>
      <c r="P16" s="101"/>
      <c r="Q16" s="101"/>
      <c r="R16" s="101"/>
      <c r="S16" s="101"/>
      <c r="T16" s="101"/>
      <c r="U16" s="98">
        <v>0.90300000000000002</v>
      </c>
      <c r="V16" s="101"/>
      <c r="W16" s="101"/>
      <c r="X16" s="101">
        <f t="shared" si="0"/>
        <v>0.90300000000000002</v>
      </c>
      <c r="Y16" s="122">
        <v>112.8</v>
      </c>
      <c r="Z16" s="106" t="str">
        <f t="shared" si="1"/>
        <v>F</v>
      </c>
      <c r="AA16" s="101" t="s">
        <v>1396</v>
      </c>
      <c r="AB16" s="101" t="s">
        <v>1322</v>
      </c>
      <c r="AC16" s="135">
        <f>AVERAGE($Y$89:$Y$90)</f>
        <v>120.1711378</v>
      </c>
      <c r="AD16" s="135">
        <f>MEDIAN($Y$89:$Y$90)</f>
        <v>120.1711378</v>
      </c>
      <c r="AE16" s="135">
        <f>MAX($Y$89:$Y$90)</f>
        <v>126.7422756</v>
      </c>
      <c r="AF16" s="135">
        <f>MIN($Y$89:$Y$90)</f>
        <v>113.6</v>
      </c>
      <c r="AG16" s="135">
        <f>STDEV($Y$89:$Y$90)</f>
        <v>9.2929921969825067</v>
      </c>
      <c r="AH16" s="135">
        <f>COUNT($Y$89:$Y$90)</f>
        <v>2</v>
      </c>
      <c r="AI16" s="174"/>
      <c r="AJ16" s="174"/>
      <c r="AK16" s="174"/>
      <c r="AL16" s="174"/>
    </row>
    <row r="17" spans="1:38" s="107" customFormat="1">
      <c r="A17" s="101"/>
      <c r="B17" s="123" t="s">
        <v>766</v>
      </c>
      <c r="C17" s="98">
        <v>2013</v>
      </c>
      <c r="D17" s="101"/>
      <c r="E17" s="99" t="s">
        <v>172</v>
      </c>
      <c r="F17" s="98">
        <v>2011</v>
      </c>
      <c r="G17" s="98" t="s">
        <v>631</v>
      </c>
      <c r="H17" s="101" t="s">
        <v>159</v>
      </c>
      <c r="I17" s="101" t="s">
        <v>1014</v>
      </c>
      <c r="J17" s="115" t="s">
        <v>1013</v>
      </c>
      <c r="K17" s="98" t="s">
        <v>1091</v>
      </c>
      <c r="L17" s="98" t="s">
        <v>974</v>
      </c>
      <c r="M17" s="101"/>
      <c r="N17" s="101"/>
      <c r="O17" s="101" t="s">
        <v>972</v>
      </c>
      <c r="P17" s="101"/>
      <c r="Q17" s="101"/>
      <c r="R17" s="101"/>
      <c r="S17" s="101"/>
      <c r="T17" s="101"/>
      <c r="U17" s="98">
        <v>0.90300000000000002</v>
      </c>
      <c r="V17" s="101"/>
      <c r="W17" s="101"/>
      <c r="X17" s="101">
        <f t="shared" si="0"/>
        <v>0.90300000000000002</v>
      </c>
      <c r="Y17" s="122">
        <v>112.6</v>
      </c>
      <c r="Z17" s="106" t="str">
        <f t="shared" si="1"/>
        <v>F</v>
      </c>
      <c r="AA17" s="101" t="s">
        <v>1396</v>
      </c>
      <c r="AH17" s="174"/>
      <c r="AI17" s="174"/>
      <c r="AJ17" s="174"/>
      <c r="AK17" s="174"/>
      <c r="AL17" s="174"/>
    </row>
    <row r="18" spans="1:38" s="107" customFormat="1">
      <c r="A18" s="101"/>
      <c r="B18" s="123" t="s">
        <v>766</v>
      </c>
      <c r="C18" s="98">
        <v>2013</v>
      </c>
      <c r="D18" s="101"/>
      <c r="E18" s="99" t="s">
        <v>172</v>
      </c>
      <c r="F18" s="98">
        <v>2011</v>
      </c>
      <c r="G18" s="98" t="s">
        <v>631</v>
      </c>
      <c r="H18" s="101" t="s">
        <v>159</v>
      </c>
      <c r="I18" s="101" t="s">
        <v>1014</v>
      </c>
      <c r="J18" s="115" t="s">
        <v>1013</v>
      </c>
      <c r="K18" s="98" t="s">
        <v>1091</v>
      </c>
      <c r="L18" s="98" t="s">
        <v>978</v>
      </c>
      <c r="M18" s="101"/>
      <c r="N18" s="101"/>
      <c r="O18" s="101" t="s">
        <v>977</v>
      </c>
      <c r="P18" s="101"/>
      <c r="Q18" s="101"/>
      <c r="R18" s="101"/>
      <c r="S18" s="101"/>
      <c r="T18" s="101"/>
      <c r="U18" s="98">
        <v>0.90200000000000002</v>
      </c>
      <c r="V18" s="101"/>
      <c r="W18" s="101"/>
      <c r="X18" s="101">
        <f t="shared" si="0"/>
        <v>0.90200000000000002</v>
      </c>
      <c r="Y18" s="122">
        <v>113.7</v>
      </c>
      <c r="Z18" s="106" t="str">
        <f t="shared" si="1"/>
        <v>F</v>
      </c>
      <c r="AA18" s="101" t="s">
        <v>1396</v>
      </c>
      <c r="AI18" s="174"/>
      <c r="AJ18" s="174"/>
      <c r="AK18" s="174"/>
      <c r="AL18" s="174"/>
    </row>
    <row r="19" spans="1:38" s="107" customFormat="1">
      <c r="A19" s="101"/>
      <c r="B19" s="123" t="s">
        <v>766</v>
      </c>
      <c r="C19" s="98">
        <v>2013</v>
      </c>
      <c r="D19" s="101"/>
      <c r="E19" s="99" t="s">
        <v>172</v>
      </c>
      <c r="F19" s="98">
        <v>2011</v>
      </c>
      <c r="G19" s="98" t="s">
        <v>631</v>
      </c>
      <c r="H19" s="101" t="s">
        <v>159</v>
      </c>
      <c r="I19" s="101" t="s">
        <v>1014</v>
      </c>
      <c r="J19" s="115" t="s">
        <v>1013</v>
      </c>
      <c r="K19" s="98" t="s">
        <v>1091</v>
      </c>
      <c r="L19" s="98" t="s">
        <v>975</v>
      </c>
      <c r="M19" s="101"/>
      <c r="N19" s="101"/>
      <c r="O19" s="101" t="s">
        <v>976</v>
      </c>
      <c r="P19" s="101"/>
      <c r="Q19" s="101"/>
      <c r="R19" s="101"/>
      <c r="S19" s="101"/>
      <c r="T19" s="101"/>
      <c r="U19" s="98">
        <v>0.90200000000000002</v>
      </c>
      <c r="V19" s="101"/>
      <c r="W19" s="101"/>
      <c r="X19" s="101">
        <f t="shared" si="0"/>
        <v>0.90200000000000002</v>
      </c>
      <c r="Y19" s="122">
        <v>113.6</v>
      </c>
      <c r="Z19" s="106" t="str">
        <f t="shared" si="1"/>
        <v>F</v>
      </c>
      <c r="AA19" s="101" t="s">
        <v>1396</v>
      </c>
      <c r="AI19" s="174"/>
      <c r="AJ19" s="174"/>
      <c r="AK19" s="174"/>
      <c r="AL19" s="174"/>
    </row>
    <row r="20" spans="1:38" s="107" customFormat="1">
      <c r="A20" s="101"/>
      <c r="B20" s="123" t="s">
        <v>766</v>
      </c>
      <c r="C20" s="98">
        <v>2013</v>
      </c>
      <c r="D20" s="101"/>
      <c r="E20" s="99" t="s">
        <v>172</v>
      </c>
      <c r="F20" s="98">
        <v>2011</v>
      </c>
      <c r="G20" s="98" t="s">
        <v>631</v>
      </c>
      <c r="H20" s="101" t="s">
        <v>159</v>
      </c>
      <c r="I20" s="101" t="s">
        <v>1014</v>
      </c>
      <c r="J20" s="115" t="s">
        <v>1013</v>
      </c>
      <c r="K20" s="98" t="s">
        <v>1091</v>
      </c>
      <c r="L20" s="98" t="s">
        <v>974</v>
      </c>
      <c r="M20" s="101"/>
      <c r="N20" s="101"/>
      <c r="O20" s="101" t="s">
        <v>972</v>
      </c>
      <c r="P20" s="101"/>
      <c r="Q20" s="101"/>
      <c r="R20" s="101"/>
      <c r="S20" s="101"/>
      <c r="T20" s="101"/>
      <c r="U20" s="98">
        <v>0.90100000000000002</v>
      </c>
      <c r="V20" s="101"/>
      <c r="W20" s="101"/>
      <c r="X20" s="101">
        <f t="shared" si="0"/>
        <v>0.90100000000000002</v>
      </c>
      <c r="Y20" s="122">
        <v>114.9</v>
      </c>
      <c r="Z20" s="106" t="str">
        <f t="shared" si="1"/>
        <v>F</v>
      </c>
      <c r="AA20" s="101" t="s">
        <v>1396</v>
      </c>
      <c r="AI20" s="174"/>
      <c r="AJ20" s="174"/>
      <c r="AK20" s="174"/>
      <c r="AL20" s="174"/>
    </row>
    <row r="21" spans="1:38" s="107" customFormat="1">
      <c r="A21" s="101"/>
      <c r="B21" s="123" t="s">
        <v>766</v>
      </c>
      <c r="C21" s="98">
        <v>2013</v>
      </c>
      <c r="D21" s="101"/>
      <c r="E21" s="99" t="s">
        <v>172</v>
      </c>
      <c r="F21" s="98">
        <v>2011</v>
      </c>
      <c r="G21" s="98" t="s">
        <v>631</v>
      </c>
      <c r="H21" s="101" t="s">
        <v>159</v>
      </c>
      <c r="I21" s="101" t="s">
        <v>1014</v>
      </c>
      <c r="J21" s="115" t="s">
        <v>1013</v>
      </c>
      <c r="K21" s="98" t="s">
        <v>1091</v>
      </c>
      <c r="L21" s="98" t="s">
        <v>975</v>
      </c>
      <c r="M21" s="101"/>
      <c r="N21" s="101"/>
      <c r="O21" s="101" t="s">
        <v>976</v>
      </c>
      <c r="P21" s="101"/>
      <c r="Q21" s="101"/>
      <c r="R21" s="101"/>
      <c r="S21" s="101"/>
      <c r="T21" s="101"/>
      <c r="U21" s="98">
        <v>0.90100000000000002</v>
      </c>
      <c r="V21" s="101"/>
      <c r="W21" s="101"/>
      <c r="X21" s="101">
        <f t="shared" si="0"/>
        <v>0.90100000000000002</v>
      </c>
      <c r="Y21" s="122">
        <v>114.5</v>
      </c>
      <c r="Z21" s="106" t="str">
        <f t="shared" si="1"/>
        <v>F</v>
      </c>
      <c r="AA21" s="101" t="s">
        <v>1396</v>
      </c>
      <c r="AB21" s="101"/>
      <c r="AC21" s="101"/>
      <c r="AD21" s="174"/>
      <c r="AE21" s="174"/>
      <c r="AF21" s="174"/>
      <c r="AG21" s="174"/>
      <c r="AH21" s="174"/>
      <c r="AI21" s="174"/>
      <c r="AJ21" s="174"/>
      <c r="AK21" s="174"/>
      <c r="AL21" s="174"/>
    </row>
    <row r="22" spans="1:38" s="107" customFormat="1">
      <c r="A22" s="101"/>
      <c r="B22" s="123" t="s">
        <v>766</v>
      </c>
      <c r="C22" s="98">
        <v>2013</v>
      </c>
      <c r="D22" s="101"/>
      <c r="E22" s="99" t="s">
        <v>172</v>
      </c>
      <c r="F22" s="98">
        <v>2011</v>
      </c>
      <c r="G22" s="98" t="s">
        <v>631</v>
      </c>
      <c r="H22" s="101" t="s">
        <v>159</v>
      </c>
      <c r="I22" s="101" t="s">
        <v>1014</v>
      </c>
      <c r="J22" s="115" t="s">
        <v>1013</v>
      </c>
      <c r="K22" s="98" t="s">
        <v>1091</v>
      </c>
      <c r="L22" s="98" t="s">
        <v>974</v>
      </c>
      <c r="M22" s="101"/>
      <c r="N22" s="101"/>
      <c r="O22" s="101" t="s">
        <v>972</v>
      </c>
      <c r="P22" s="101"/>
      <c r="Q22" s="101"/>
      <c r="R22" s="101"/>
      <c r="S22" s="101"/>
      <c r="T22" s="101"/>
      <c r="U22" s="98">
        <v>0.90100000000000002</v>
      </c>
      <c r="V22" s="101"/>
      <c r="W22" s="101"/>
      <c r="X22" s="101">
        <f t="shared" si="0"/>
        <v>0.90100000000000002</v>
      </c>
      <c r="Y22" s="122">
        <v>114.4</v>
      </c>
      <c r="Z22" s="106" t="str">
        <f t="shared" si="1"/>
        <v>F</v>
      </c>
      <c r="AA22" s="101" t="s">
        <v>1396</v>
      </c>
      <c r="AI22" s="174"/>
      <c r="AJ22" s="174"/>
      <c r="AK22" s="174"/>
      <c r="AL22" s="174"/>
    </row>
    <row r="23" spans="1:38" s="107" customFormat="1">
      <c r="A23" s="101"/>
      <c r="B23" s="123" t="s">
        <v>766</v>
      </c>
      <c r="C23" s="98">
        <v>2013</v>
      </c>
      <c r="D23" s="101"/>
      <c r="E23" s="99" t="s">
        <v>172</v>
      </c>
      <c r="F23" s="98">
        <v>2011</v>
      </c>
      <c r="G23" s="98" t="s">
        <v>631</v>
      </c>
      <c r="H23" s="101" t="s">
        <v>159</v>
      </c>
      <c r="I23" s="101" t="s">
        <v>1014</v>
      </c>
      <c r="J23" s="115" t="s">
        <v>1013</v>
      </c>
      <c r="K23" s="98" t="s">
        <v>1091</v>
      </c>
      <c r="L23" s="98" t="s">
        <v>974</v>
      </c>
      <c r="M23" s="101"/>
      <c r="N23" s="101"/>
      <c r="O23" s="101" t="s">
        <v>972</v>
      </c>
      <c r="P23" s="101"/>
      <c r="Q23" s="101"/>
      <c r="R23" s="101"/>
      <c r="S23" s="101"/>
      <c r="T23" s="101"/>
      <c r="U23" s="98">
        <v>0.9</v>
      </c>
      <c r="V23" s="101"/>
      <c r="W23" s="101"/>
      <c r="X23" s="101">
        <f t="shared" si="0"/>
        <v>0.9</v>
      </c>
      <c r="Y23" s="122">
        <v>115.3</v>
      </c>
      <c r="Z23" s="106" t="str">
        <f t="shared" si="1"/>
        <v>F</v>
      </c>
      <c r="AA23" s="101" t="s">
        <v>1396</v>
      </c>
      <c r="AB23" s="101"/>
      <c r="AC23" s="101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07" customFormat="1">
      <c r="A24" s="97">
        <v>203</v>
      </c>
      <c r="B24" s="123" t="s">
        <v>940</v>
      </c>
      <c r="C24" s="98">
        <v>2011</v>
      </c>
      <c r="D24" s="123" t="s">
        <v>941</v>
      </c>
      <c r="E24" s="99" t="s">
        <v>20</v>
      </c>
      <c r="F24" s="98">
        <v>2009</v>
      </c>
      <c r="G24" s="98" t="s">
        <v>326</v>
      </c>
      <c r="H24" s="98"/>
      <c r="I24" s="98"/>
      <c r="J24" s="101" t="s">
        <v>1013</v>
      </c>
      <c r="K24" s="98" t="s">
        <v>1091</v>
      </c>
      <c r="L24" s="98" t="s">
        <v>725</v>
      </c>
      <c r="M24" s="98"/>
      <c r="N24" s="98"/>
      <c r="O24" s="98">
        <v>37</v>
      </c>
      <c r="P24" s="98"/>
      <c r="Q24" s="98"/>
      <c r="R24" s="98"/>
      <c r="S24" s="98"/>
      <c r="T24" s="98"/>
      <c r="U24" s="98">
        <v>0.9</v>
      </c>
      <c r="V24" s="98"/>
      <c r="W24" s="98"/>
      <c r="X24" s="101">
        <f t="shared" si="0"/>
        <v>0.9</v>
      </c>
      <c r="Y24" s="122">
        <v>113</v>
      </c>
      <c r="Z24" s="106" t="str">
        <f t="shared" si="1"/>
        <v>F</v>
      </c>
      <c r="AA24" s="101" t="s">
        <v>1396</v>
      </c>
      <c r="AB24" s="101"/>
      <c r="AC24" s="101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s="107" customFormat="1">
      <c r="A25" s="101"/>
      <c r="B25" s="123" t="s">
        <v>766</v>
      </c>
      <c r="C25" s="98">
        <v>2013</v>
      </c>
      <c r="D25" s="101"/>
      <c r="E25" s="99" t="s">
        <v>172</v>
      </c>
      <c r="F25" s="98">
        <v>2011</v>
      </c>
      <c r="G25" s="98" t="s">
        <v>631</v>
      </c>
      <c r="H25" s="101" t="s">
        <v>159</v>
      </c>
      <c r="I25" s="101" t="s">
        <v>1014</v>
      </c>
      <c r="J25" s="115" t="s">
        <v>1013</v>
      </c>
      <c r="K25" s="98" t="s">
        <v>1091</v>
      </c>
      <c r="L25" s="98" t="s">
        <v>975</v>
      </c>
      <c r="M25" s="101"/>
      <c r="N25" s="101"/>
      <c r="O25" s="101" t="s">
        <v>976</v>
      </c>
      <c r="P25" s="101"/>
      <c r="Q25" s="101"/>
      <c r="R25" s="101"/>
      <c r="S25" s="101"/>
      <c r="T25" s="101"/>
      <c r="U25" s="98">
        <v>0.89900000000000002</v>
      </c>
      <c r="V25" s="101"/>
      <c r="W25" s="101"/>
      <c r="X25" s="101">
        <f t="shared" si="0"/>
        <v>0.89900000000000002</v>
      </c>
      <c r="Y25" s="122">
        <v>117.2</v>
      </c>
      <c r="Z25" s="106" t="str">
        <f t="shared" si="1"/>
        <v>S</v>
      </c>
      <c r="AA25" s="101" t="s">
        <v>1396</v>
      </c>
      <c r="AB25" s="101"/>
      <c r="AC25" s="101"/>
      <c r="AD25" s="174"/>
      <c r="AE25" s="174"/>
      <c r="AF25" s="174"/>
      <c r="AG25" s="174"/>
      <c r="AH25" s="174"/>
      <c r="AI25" s="174"/>
      <c r="AJ25" s="174"/>
      <c r="AK25" s="174"/>
      <c r="AL25" s="174"/>
    </row>
    <row r="26" spans="1:38" s="107" customFormat="1">
      <c r="A26" s="101"/>
      <c r="B26" s="123" t="s">
        <v>766</v>
      </c>
      <c r="C26" s="98">
        <v>2013</v>
      </c>
      <c r="D26" s="101"/>
      <c r="E26" s="99" t="s">
        <v>172</v>
      </c>
      <c r="F26" s="98">
        <v>2011</v>
      </c>
      <c r="G26" s="98" t="s">
        <v>631</v>
      </c>
      <c r="H26" s="101" t="s">
        <v>159</v>
      </c>
      <c r="I26" s="101" t="s">
        <v>1014</v>
      </c>
      <c r="J26" s="115" t="s">
        <v>1013</v>
      </c>
      <c r="K26" s="98" t="s">
        <v>1091</v>
      </c>
      <c r="L26" s="98" t="s">
        <v>974</v>
      </c>
      <c r="M26" s="101"/>
      <c r="N26" s="101"/>
      <c r="O26" s="101" t="s">
        <v>972</v>
      </c>
      <c r="P26" s="101"/>
      <c r="Q26" s="101"/>
      <c r="R26" s="101"/>
      <c r="S26" s="101"/>
      <c r="T26" s="101"/>
      <c r="U26" s="98">
        <v>0.89800000000000002</v>
      </c>
      <c r="V26" s="101"/>
      <c r="W26" s="101"/>
      <c r="X26" s="101">
        <f t="shared" si="0"/>
        <v>0.89800000000000002</v>
      </c>
      <c r="Y26" s="122">
        <v>117.4</v>
      </c>
      <c r="Z26" s="106" t="str">
        <f t="shared" si="1"/>
        <v>S</v>
      </c>
      <c r="AA26" s="101" t="s">
        <v>1396</v>
      </c>
      <c r="AB26" s="101"/>
      <c r="AC26" s="101"/>
      <c r="AD26" s="174"/>
      <c r="AE26" s="174"/>
      <c r="AF26" s="174"/>
      <c r="AG26" s="174"/>
      <c r="AH26" s="174"/>
      <c r="AI26" s="174"/>
      <c r="AJ26" s="174"/>
      <c r="AK26" s="174"/>
      <c r="AL26" s="174"/>
    </row>
    <row r="27" spans="1:38" s="107" customFormat="1">
      <c r="A27" s="101"/>
      <c r="B27" s="123" t="s">
        <v>766</v>
      </c>
      <c r="C27" s="98">
        <v>2013</v>
      </c>
      <c r="D27" s="101"/>
      <c r="E27" s="99" t="s">
        <v>172</v>
      </c>
      <c r="F27" s="98">
        <v>2011</v>
      </c>
      <c r="G27" s="98" t="s">
        <v>631</v>
      </c>
      <c r="H27" s="101" t="s">
        <v>159</v>
      </c>
      <c r="I27" s="101" t="s">
        <v>1014</v>
      </c>
      <c r="J27" s="115" t="s">
        <v>1013</v>
      </c>
      <c r="K27" s="98" t="s">
        <v>1091</v>
      </c>
      <c r="L27" s="98" t="s">
        <v>978</v>
      </c>
      <c r="M27" s="101"/>
      <c r="N27" s="101"/>
      <c r="O27" s="101" t="s">
        <v>977</v>
      </c>
      <c r="P27" s="101"/>
      <c r="Q27" s="101"/>
      <c r="R27" s="101"/>
      <c r="S27" s="101"/>
      <c r="T27" s="101"/>
      <c r="U27" s="98">
        <v>0.89700000000000002</v>
      </c>
      <c r="V27" s="101"/>
      <c r="W27" s="101"/>
      <c r="X27" s="101">
        <f t="shared" si="0"/>
        <v>0.89700000000000002</v>
      </c>
      <c r="Y27" s="122">
        <v>119.2</v>
      </c>
      <c r="Z27" s="106" t="str">
        <f t="shared" si="1"/>
        <v>S</v>
      </c>
      <c r="AA27" s="101" t="s">
        <v>1396</v>
      </c>
      <c r="AB27" s="101"/>
      <c r="AC27" s="101"/>
      <c r="AD27" s="174"/>
      <c r="AE27" s="174"/>
      <c r="AF27" s="174"/>
      <c r="AG27" s="174"/>
      <c r="AH27" s="174"/>
      <c r="AI27" s="174"/>
      <c r="AJ27" s="174"/>
      <c r="AK27" s="174"/>
      <c r="AL27" s="174"/>
    </row>
    <row r="28" spans="1:38" s="107" customFormat="1">
      <c r="A28" s="101"/>
      <c r="B28" s="123" t="s">
        <v>766</v>
      </c>
      <c r="C28" s="98">
        <v>2013</v>
      </c>
      <c r="D28" s="101"/>
      <c r="E28" s="99" t="s">
        <v>172</v>
      </c>
      <c r="F28" s="98">
        <v>2011</v>
      </c>
      <c r="G28" s="98" t="s">
        <v>631</v>
      </c>
      <c r="H28" s="101" t="s">
        <v>159</v>
      </c>
      <c r="I28" s="101" t="s">
        <v>1014</v>
      </c>
      <c r="J28" s="115" t="s">
        <v>1013</v>
      </c>
      <c r="K28" s="98" t="s">
        <v>1091</v>
      </c>
      <c r="L28" s="98" t="s">
        <v>975</v>
      </c>
      <c r="M28" s="101"/>
      <c r="N28" s="101"/>
      <c r="O28" s="101" t="s">
        <v>976</v>
      </c>
      <c r="P28" s="101"/>
      <c r="Q28" s="101"/>
      <c r="R28" s="101"/>
      <c r="S28" s="101"/>
      <c r="T28" s="101"/>
      <c r="U28" s="98">
        <v>0.89500000000000002</v>
      </c>
      <c r="V28" s="101"/>
      <c r="W28" s="101"/>
      <c r="X28" s="101">
        <f t="shared" si="0"/>
        <v>0.89500000000000002</v>
      </c>
      <c r="Y28" s="122">
        <v>121.7</v>
      </c>
      <c r="Z28" s="106" t="str">
        <f t="shared" si="1"/>
        <v>S</v>
      </c>
      <c r="AA28" s="101" t="s">
        <v>1396</v>
      </c>
      <c r="AB28" s="101"/>
      <c r="AC28" s="101"/>
      <c r="AD28" s="174"/>
      <c r="AE28" s="174"/>
      <c r="AF28" s="174"/>
      <c r="AG28" s="174"/>
      <c r="AH28" s="174"/>
      <c r="AI28" s="174"/>
      <c r="AJ28" s="174"/>
      <c r="AK28" s="174"/>
      <c r="AL28" s="174"/>
    </row>
    <row r="29" spans="1:38" s="107" customFormat="1">
      <c r="A29" s="101"/>
      <c r="B29" s="123" t="s">
        <v>766</v>
      </c>
      <c r="C29" s="98">
        <v>2013</v>
      </c>
      <c r="D29" s="101"/>
      <c r="E29" s="99" t="s">
        <v>172</v>
      </c>
      <c r="F29" s="98">
        <v>2011</v>
      </c>
      <c r="G29" s="98" t="s">
        <v>631</v>
      </c>
      <c r="H29" s="101" t="s">
        <v>159</v>
      </c>
      <c r="I29" s="101" t="s">
        <v>1014</v>
      </c>
      <c r="J29" s="115" t="s">
        <v>1013</v>
      </c>
      <c r="K29" s="98" t="s">
        <v>1091</v>
      </c>
      <c r="L29" s="98" t="s">
        <v>978</v>
      </c>
      <c r="M29" s="101"/>
      <c r="N29" s="101"/>
      <c r="O29" s="101" t="s">
        <v>977</v>
      </c>
      <c r="P29" s="101"/>
      <c r="Q29" s="101"/>
      <c r="R29" s="101"/>
      <c r="S29" s="101"/>
      <c r="T29" s="101"/>
      <c r="U29" s="98">
        <v>0.89500000000000002</v>
      </c>
      <c r="V29" s="101"/>
      <c r="W29" s="101"/>
      <c r="X29" s="101">
        <f t="shared" si="0"/>
        <v>0.89500000000000002</v>
      </c>
      <c r="Y29" s="122">
        <v>121.4</v>
      </c>
      <c r="Z29" s="106" t="str">
        <f t="shared" si="1"/>
        <v>S</v>
      </c>
      <c r="AA29" s="101" t="s">
        <v>1396</v>
      </c>
      <c r="AB29" s="101"/>
      <c r="AC29" s="101"/>
      <c r="AD29" s="174"/>
      <c r="AE29" s="174"/>
      <c r="AF29" s="174"/>
      <c r="AG29" s="174"/>
      <c r="AH29" s="174"/>
      <c r="AI29" s="174"/>
      <c r="AJ29" s="174"/>
      <c r="AK29" s="174"/>
      <c r="AL29" s="174"/>
    </row>
    <row r="30" spans="1:38" s="107" customFormat="1">
      <c r="A30" s="101"/>
      <c r="B30" s="123" t="s">
        <v>766</v>
      </c>
      <c r="C30" s="98">
        <v>2013</v>
      </c>
      <c r="D30" s="101"/>
      <c r="E30" s="99" t="s">
        <v>172</v>
      </c>
      <c r="F30" s="98">
        <v>2011</v>
      </c>
      <c r="G30" s="98" t="s">
        <v>631</v>
      </c>
      <c r="H30" s="101" t="s">
        <v>159</v>
      </c>
      <c r="I30" s="101" t="s">
        <v>1014</v>
      </c>
      <c r="J30" s="115" t="s">
        <v>1013</v>
      </c>
      <c r="K30" s="98" t="s">
        <v>1091</v>
      </c>
      <c r="L30" s="98" t="s">
        <v>975</v>
      </c>
      <c r="M30" s="101"/>
      <c r="N30" s="101"/>
      <c r="O30" s="101" t="s">
        <v>976</v>
      </c>
      <c r="P30" s="101"/>
      <c r="Q30" s="101"/>
      <c r="R30" s="101"/>
      <c r="S30" s="101"/>
      <c r="T30" s="101"/>
      <c r="U30" s="98">
        <v>0.89400000000000002</v>
      </c>
      <c r="V30" s="101"/>
      <c r="W30" s="101"/>
      <c r="X30" s="101">
        <f t="shared" si="0"/>
        <v>0.89400000000000002</v>
      </c>
      <c r="Y30" s="122">
        <v>122.9</v>
      </c>
      <c r="Z30" s="106" t="str">
        <f t="shared" si="1"/>
        <v>S</v>
      </c>
      <c r="AA30" s="101" t="s">
        <v>1396</v>
      </c>
      <c r="AB30" s="101"/>
      <c r="AC30" s="101"/>
      <c r="AD30" s="174"/>
      <c r="AE30" s="174"/>
      <c r="AF30" s="174"/>
      <c r="AG30" s="174"/>
      <c r="AH30" s="174"/>
      <c r="AI30" s="174"/>
      <c r="AJ30" s="174"/>
      <c r="AK30" s="174"/>
      <c r="AL30" s="174"/>
    </row>
    <row r="31" spans="1:38" s="107" customFormat="1">
      <c r="A31" s="101"/>
      <c r="B31" s="123" t="s">
        <v>766</v>
      </c>
      <c r="C31" s="98">
        <v>2013</v>
      </c>
      <c r="D31" s="101"/>
      <c r="E31" s="99" t="s">
        <v>172</v>
      </c>
      <c r="F31" s="98">
        <v>2011</v>
      </c>
      <c r="G31" s="98" t="s">
        <v>631</v>
      </c>
      <c r="H31" s="101" t="s">
        <v>159</v>
      </c>
      <c r="I31" s="101" t="s">
        <v>1014</v>
      </c>
      <c r="J31" s="115" t="s">
        <v>1013</v>
      </c>
      <c r="K31" s="98" t="s">
        <v>1091</v>
      </c>
      <c r="L31" s="98" t="s">
        <v>974</v>
      </c>
      <c r="M31" s="101"/>
      <c r="N31" s="101"/>
      <c r="O31" s="101" t="s">
        <v>972</v>
      </c>
      <c r="P31" s="101"/>
      <c r="Q31" s="101"/>
      <c r="R31" s="101"/>
      <c r="S31" s="101"/>
      <c r="T31" s="101"/>
      <c r="U31" s="98">
        <v>0.89200000000000002</v>
      </c>
      <c r="V31" s="101"/>
      <c r="W31" s="101"/>
      <c r="X31" s="101">
        <f t="shared" si="0"/>
        <v>0.89200000000000002</v>
      </c>
      <c r="Y31" s="122">
        <v>125.1</v>
      </c>
      <c r="Z31" s="106" t="str">
        <f t="shared" si="1"/>
        <v>S</v>
      </c>
      <c r="AA31" s="101" t="s">
        <v>1396</v>
      </c>
      <c r="AB31" s="101"/>
      <c r="AC31" s="101"/>
      <c r="AD31" s="174"/>
      <c r="AE31" s="174"/>
      <c r="AF31" s="174"/>
      <c r="AG31" s="174"/>
      <c r="AH31" s="174"/>
      <c r="AI31" s="174"/>
      <c r="AJ31" s="174"/>
      <c r="AK31" s="174"/>
      <c r="AL31" s="174"/>
    </row>
    <row r="32" spans="1:38" s="107" customFormat="1">
      <c r="A32" s="101"/>
      <c r="B32" s="123" t="s">
        <v>766</v>
      </c>
      <c r="C32" s="98">
        <v>2013</v>
      </c>
      <c r="D32" s="101"/>
      <c r="E32" s="99" t="s">
        <v>172</v>
      </c>
      <c r="F32" s="98">
        <v>2011</v>
      </c>
      <c r="G32" s="98" t="s">
        <v>631</v>
      </c>
      <c r="H32" s="101" t="s">
        <v>159</v>
      </c>
      <c r="I32" s="101" t="s">
        <v>1014</v>
      </c>
      <c r="J32" s="115" t="s">
        <v>1013</v>
      </c>
      <c r="K32" s="98" t="s">
        <v>1091</v>
      </c>
      <c r="L32" s="98" t="s">
        <v>974</v>
      </c>
      <c r="M32" s="101"/>
      <c r="N32" s="101"/>
      <c r="O32" s="101" t="s">
        <v>972</v>
      </c>
      <c r="P32" s="101"/>
      <c r="Q32" s="101"/>
      <c r="R32" s="101"/>
      <c r="S32" s="101"/>
      <c r="T32" s="101"/>
      <c r="U32" s="98">
        <v>0.89200000000000002</v>
      </c>
      <c r="V32" s="101"/>
      <c r="W32" s="101"/>
      <c r="X32" s="101">
        <f t="shared" si="0"/>
        <v>0.89200000000000002</v>
      </c>
      <c r="Y32" s="122">
        <v>124.9</v>
      </c>
      <c r="Z32" s="106" t="str">
        <f t="shared" si="1"/>
        <v>S</v>
      </c>
      <c r="AA32" s="101" t="s">
        <v>1396</v>
      </c>
      <c r="AB32" s="101"/>
      <c r="AC32" s="101"/>
      <c r="AD32" s="174"/>
      <c r="AE32" s="174"/>
      <c r="AF32" s="174"/>
      <c r="AG32" s="174"/>
      <c r="AH32" s="174"/>
      <c r="AI32" s="174"/>
      <c r="AJ32" s="174"/>
      <c r="AK32" s="174"/>
      <c r="AL32" s="174"/>
    </row>
    <row r="33" spans="1:38" s="107" customFormat="1">
      <c r="A33" s="97">
        <v>203</v>
      </c>
      <c r="B33" s="123" t="s">
        <v>940</v>
      </c>
      <c r="C33" s="98">
        <v>2011</v>
      </c>
      <c r="D33" s="123" t="s">
        <v>941</v>
      </c>
      <c r="E33" s="99" t="s">
        <v>20</v>
      </c>
      <c r="F33" s="98">
        <v>2009</v>
      </c>
      <c r="G33" s="98" t="s">
        <v>326</v>
      </c>
      <c r="H33" s="98"/>
      <c r="I33" s="98"/>
      <c r="J33" s="101" t="s">
        <v>1013</v>
      </c>
      <c r="K33" s="98" t="s">
        <v>1091</v>
      </c>
      <c r="L33" s="98" t="s">
        <v>725</v>
      </c>
      <c r="M33" s="98"/>
      <c r="N33" s="98"/>
      <c r="O33" s="98">
        <v>61</v>
      </c>
      <c r="P33" s="98"/>
      <c r="Q33" s="98"/>
      <c r="R33" s="98"/>
      <c r="S33" s="98"/>
      <c r="T33" s="98"/>
      <c r="U33" s="98">
        <v>0.89</v>
      </c>
      <c r="V33" s="98"/>
      <c r="W33" s="98"/>
      <c r="X33" s="101">
        <f t="shared" si="0"/>
        <v>0.89</v>
      </c>
      <c r="Y33" s="122">
        <v>128.4</v>
      </c>
      <c r="Z33" s="106" t="str">
        <f t="shared" si="1"/>
        <v>S</v>
      </c>
      <c r="AA33" s="101" t="s">
        <v>1396</v>
      </c>
      <c r="AB33" s="101"/>
      <c r="AC33" s="101"/>
      <c r="AD33" s="174"/>
      <c r="AE33" s="174"/>
      <c r="AF33" s="174"/>
      <c r="AG33" s="174"/>
      <c r="AH33" s="174"/>
      <c r="AI33" s="174"/>
      <c r="AJ33" s="174"/>
      <c r="AK33" s="174"/>
      <c r="AL33" s="174"/>
    </row>
    <row r="34" spans="1:38" s="107" customFormat="1">
      <c r="A34" s="101"/>
      <c r="B34" s="123" t="s">
        <v>766</v>
      </c>
      <c r="C34" s="98">
        <v>2013</v>
      </c>
      <c r="D34" s="101"/>
      <c r="E34" s="99" t="s">
        <v>172</v>
      </c>
      <c r="F34" s="98">
        <v>2011</v>
      </c>
      <c r="G34" s="98" t="s">
        <v>631</v>
      </c>
      <c r="H34" s="101" t="s">
        <v>159</v>
      </c>
      <c r="I34" s="101" t="s">
        <v>1014</v>
      </c>
      <c r="J34" s="115" t="s">
        <v>1013</v>
      </c>
      <c r="K34" s="98" t="s">
        <v>1091</v>
      </c>
      <c r="L34" s="98" t="s">
        <v>975</v>
      </c>
      <c r="M34" s="101"/>
      <c r="N34" s="101"/>
      <c r="O34" s="101" t="s">
        <v>976</v>
      </c>
      <c r="P34" s="101"/>
      <c r="Q34" s="101"/>
      <c r="R34" s="101"/>
      <c r="S34" s="101"/>
      <c r="T34" s="101"/>
      <c r="U34" s="98">
        <v>0.89</v>
      </c>
      <c r="V34" s="101"/>
      <c r="W34" s="101"/>
      <c r="X34" s="101">
        <f t="shared" si="0"/>
        <v>0.89</v>
      </c>
      <c r="Y34" s="122">
        <v>127.4</v>
      </c>
      <c r="Z34" s="106" t="str">
        <f t="shared" ref="Z34:Z65" si="2">IF(X34&lt;&gt;"",IF(X34&lt;0.9,"S","F"),"")</f>
        <v>S</v>
      </c>
      <c r="AA34" s="101" t="s">
        <v>1396</v>
      </c>
      <c r="AB34" s="101"/>
      <c r="AC34" s="101"/>
      <c r="AD34" s="174"/>
      <c r="AE34" s="174"/>
      <c r="AF34" s="174"/>
      <c r="AG34" s="174"/>
      <c r="AH34" s="174"/>
      <c r="AI34" s="174"/>
      <c r="AJ34" s="174"/>
      <c r="AK34" s="174"/>
      <c r="AL34" s="174"/>
    </row>
    <row r="35" spans="1:38" s="107" customFormat="1">
      <c r="A35" s="101"/>
      <c r="B35" s="123" t="s">
        <v>766</v>
      </c>
      <c r="C35" s="98">
        <v>2013</v>
      </c>
      <c r="D35" s="101"/>
      <c r="E35" s="99" t="s">
        <v>172</v>
      </c>
      <c r="F35" s="98">
        <v>2011</v>
      </c>
      <c r="G35" s="98" t="s">
        <v>631</v>
      </c>
      <c r="H35" s="101" t="s">
        <v>159</v>
      </c>
      <c r="I35" s="101" t="s">
        <v>1014</v>
      </c>
      <c r="J35" s="115" t="s">
        <v>1013</v>
      </c>
      <c r="K35" s="98" t="s">
        <v>1091</v>
      </c>
      <c r="L35" s="98" t="s">
        <v>974</v>
      </c>
      <c r="M35" s="101"/>
      <c r="N35" s="101"/>
      <c r="O35" s="101" t="s">
        <v>972</v>
      </c>
      <c r="P35" s="101"/>
      <c r="Q35" s="101"/>
      <c r="R35" s="101"/>
      <c r="S35" s="101"/>
      <c r="T35" s="101"/>
      <c r="U35" s="98">
        <v>0.89</v>
      </c>
      <c r="V35" s="101"/>
      <c r="W35" s="101"/>
      <c r="X35" s="101">
        <f t="shared" si="0"/>
        <v>0.89</v>
      </c>
      <c r="Y35" s="122">
        <v>126.9</v>
      </c>
      <c r="Z35" s="106" t="str">
        <f t="shared" si="2"/>
        <v>S</v>
      </c>
      <c r="AA35" s="101" t="s">
        <v>1396</v>
      </c>
      <c r="AB35" s="101"/>
      <c r="AC35" s="101"/>
      <c r="AD35" s="174"/>
      <c r="AE35" s="174"/>
      <c r="AF35" s="174"/>
      <c r="AG35" s="174"/>
      <c r="AH35" s="174"/>
      <c r="AI35" s="174"/>
      <c r="AJ35" s="174"/>
      <c r="AK35" s="174"/>
      <c r="AL35" s="174"/>
    </row>
    <row r="36" spans="1:38" s="107" customFormat="1">
      <c r="A36" s="101"/>
      <c r="B36" s="123" t="s">
        <v>766</v>
      </c>
      <c r="C36" s="98">
        <v>2013</v>
      </c>
      <c r="D36" s="101"/>
      <c r="E36" s="99" t="s">
        <v>172</v>
      </c>
      <c r="F36" s="98">
        <v>2011</v>
      </c>
      <c r="G36" s="98" t="s">
        <v>631</v>
      </c>
      <c r="H36" s="101" t="s">
        <v>159</v>
      </c>
      <c r="I36" s="101" t="s">
        <v>1014</v>
      </c>
      <c r="J36" s="115" t="s">
        <v>1013</v>
      </c>
      <c r="K36" s="98" t="s">
        <v>1091</v>
      </c>
      <c r="L36" s="98" t="s">
        <v>974</v>
      </c>
      <c r="M36" s="101"/>
      <c r="N36" s="101"/>
      <c r="O36" s="101" t="s">
        <v>972</v>
      </c>
      <c r="P36" s="101"/>
      <c r="Q36" s="101"/>
      <c r="R36" s="101"/>
      <c r="S36" s="101"/>
      <c r="T36" s="101"/>
      <c r="U36" s="98">
        <v>0.89</v>
      </c>
      <c r="V36" s="101"/>
      <c r="W36" s="101"/>
      <c r="X36" s="101">
        <f t="shared" si="0"/>
        <v>0.89</v>
      </c>
      <c r="Y36" s="122">
        <v>126.8</v>
      </c>
      <c r="Z36" s="106" t="str">
        <f t="shared" si="2"/>
        <v>S</v>
      </c>
      <c r="AA36" s="101" t="s">
        <v>1396</v>
      </c>
      <c r="AB36" s="101"/>
      <c r="AC36" s="101"/>
      <c r="AD36" s="174"/>
      <c r="AE36" s="174"/>
      <c r="AF36" s="174"/>
      <c r="AG36" s="174"/>
      <c r="AH36" s="174"/>
      <c r="AI36" s="174"/>
      <c r="AJ36" s="174"/>
      <c r="AK36" s="174"/>
      <c r="AL36" s="174"/>
    </row>
    <row r="37" spans="1:38" s="107" customFormat="1">
      <c r="A37" s="101"/>
      <c r="B37" s="123" t="s">
        <v>766</v>
      </c>
      <c r="C37" s="98">
        <v>2013</v>
      </c>
      <c r="D37" s="101"/>
      <c r="E37" s="99" t="s">
        <v>172</v>
      </c>
      <c r="F37" s="98">
        <v>2011</v>
      </c>
      <c r="G37" s="98" t="s">
        <v>631</v>
      </c>
      <c r="H37" s="101" t="s">
        <v>159</v>
      </c>
      <c r="I37" s="101" t="s">
        <v>1014</v>
      </c>
      <c r="J37" s="115" t="s">
        <v>1013</v>
      </c>
      <c r="K37" s="98" t="s">
        <v>1091</v>
      </c>
      <c r="L37" s="98" t="s">
        <v>974</v>
      </c>
      <c r="M37" s="101"/>
      <c r="N37" s="101"/>
      <c r="O37" s="101" t="s">
        <v>972</v>
      </c>
      <c r="P37" s="101"/>
      <c r="Q37" s="101"/>
      <c r="R37" s="101"/>
      <c r="S37" s="101"/>
      <c r="T37" s="101"/>
      <c r="U37" s="98">
        <v>0.88900000000000001</v>
      </c>
      <c r="V37" s="101"/>
      <c r="W37" s="101"/>
      <c r="X37" s="101">
        <f t="shared" si="0"/>
        <v>0.88900000000000001</v>
      </c>
      <c r="Y37" s="122">
        <v>128.4</v>
      </c>
      <c r="Z37" s="106" t="str">
        <f t="shared" si="2"/>
        <v>S</v>
      </c>
      <c r="AA37" s="101" t="s">
        <v>1396</v>
      </c>
      <c r="AB37" s="101"/>
      <c r="AC37" s="101"/>
      <c r="AD37" s="174"/>
      <c r="AE37" s="174"/>
      <c r="AF37" s="174"/>
      <c r="AG37" s="174"/>
      <c r="AH37" s="174"/>
      <c r="AI37" s="174"/>
      <c r="AJ37" s="174"/>
      <c r="AK37" s="174"/>
      <c r="AL37" s="174"/>
    </row>
    <row r="38" spans="1:38" s="107" customFormat="1">
      <c r="A38" s="101"/>
      <c r="B38" s="123" t="s">
        <v>766</v>
      </c>
      <c r="C38" s="98">
        <v>2013</v>
      </c>
      <c r="D38" s="101"/>
      <c r="E38" s="99" t="s">
        <v>172</v>
      </c>
      <c r="F38" s="98">
        <v>2011</v>
      </c>
      <c r="G38" s="98" t="s">
        <v>631</v>
      </c>
      <c r="H38" s="101" t="s">
        <v>159</v>
      </c>
      <c r="I38" s="101" t="s">
        <v>1014</v>
      </c>
      <c r="J38" s="115" t="s">
        <v>1013</v>
      </c>
      <c r="K38" s="98" t="s">
        <v>1091</v>
      </c>
      <c r="L38" s="98" t="s">
        <v>978</v>
      </c>
      <c r="M38" s="101"/>
      <c r="N38" s="101"/>
      <c r="O38" s="101" t="s">
        <v>977</v>
      </c>
      <c r="P38" s="101"/>
      <c r="Q38" s="101"/>
      <c r="R38" s="101"/>
      <c r="S38" s="101"/>
      <c r="T38" s="101"/>
      <c r="U38" s="98">
        <v>0.88900000000000001</v>
      </c>
      <c r="V38" s="101"/>
      <c r="W38" s="101"/>
      <c r="X38" s="101">
        <f t="shared" si="0"/>
        <v>0.88900000000000001</v>
      </c>
      <c r="Y38" s="122">
        <v>127.5</v>
      </c>
      <c r="Z38" s="106" t="str">
        <f t="shared" si="2"/>
        <v>S</v>
      </c>
      <c r="AA38" s="101" t="s">
        <v>1396</v>
      </c>
      <c r="AB38" s="101"/>
      <c r="AC38" s="101"/>
      <c r="AD38" s="174"/>
      <c r="AE38" s="174"/>
      <c r="AF38" s="174"/>
      <c r="AG38" s="174"/>
      <c r="AH38" s="174"/>
      <c r="AI38" s="174"/>
      <c r="AJ38" s="174"/>
      <c r="AK38" s="174"/>
      <c r="AL38" s="174"/>
    </row>
    <row r="39" spans="1:38" s="107" customFormat="1">
      <c r="A39" s="101"/>
      <c r="B39" s="123" t="s">
        <v>766</v>
      </c>
      <c r="C39" s="98">
        <v>2013</v>
      </c>
      <c r="D39" s="101"/>
      <c r="E39" s="99" t="s">
        <v>172</v>
      </c>
      <c r="F39" s="98">
        <v>2011</v>
      </c>
      <c r="G39" s="98" t="s">
        <v>631</v>
      </c>
      <c r="H39" s="101" t="s">
        <v>159</v>
      </c>
      <c r="I39" s="101" t="s">
        <v>1014</v>
      </c>
      <c r="J39" s="115" t="s">
        <v>1013</v>
      </c>
      <c r="K39" s="98" t="s">
        <v>1091</v>
      </c>
      <c r="L39" s="98" t="s">
        <v>974</v>
      </c>
      <c r="M39" s="101"/>
      <c r="N39" s="101"/>
      <c r="O39" s="101" t="s">
        <v>972</v>
      </c>
      <c r="P39" s="101"/>
      <c r="Q39" s="101"/>
      <c r="R39" s="101"/>
      <c r="S39" s="101"/>
      <c r="T39" s="101"/>
      <c r="U39" s="98">
        <v>0.88600000000000001</v>
      </c>
      <c r="V39" s="101"/>
      <c r="W39" s="101"/>
      <c r="X39" s="101">
        <f t="shared" si="0"/>
        <v>0.88600000000000001</v>
      </c>
      <c r="Y39" s="122">
        <v>131.80000000000001</v>
      </c>
      <c r="Z39" s="106" t="str">
        <f t="shared" si="2"/>
        <v>S</v>
      </c>
      <c r="AA39" s="101" t="s">
        <v>1396</v>
      </c>
      <c r="AB39" s="101"/>
      <c r="AC39" s="101"/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1:38" s="107" customFormat="1">
      <c r="A40" s="101"/>
      <c r="B40" s="123" t="s">
        <v>766</v>
      </c>
      <c r="C40" s="98">
        <v>2013</v>
      </c>
      <c r="D40" s="101"/>
      <c r="E40" s="99" t="s">
        <v>172</v>
      </c>
      <c r="F40" s="98">
        <v>2011</v>
      </c>
      <c r="G40" s="98" t="s">
        <v>631</v>
      </c>
      <c r="H40" s="101" t="s">
        <v>159</v>
      </c>
      <c r="I40" s="101" t="s">
        <v>1014</v>
      </c>
      <c r="J40" s="115" t="s">
        <v>1013</v>
      </c>
      <c r="K40" s="98" t="s">
        <v>1091</v>
      </c>
      <c r="L40" s="98" t="s">
        <v>978</v>
      </c>
      <c r="M40" s="101"/>
      <c r="N40" s="101"/>
      <c r="O40" s="101" t="s">
        <v>977</v>
      </c>
      <c r="P40" s="101"/>
      <c r="Q40" s="101"/>
      <c r="R40" s="101"/>
      <c r="S40" s="101"/>
      <c r="T40" s="101"/>
      <c r="U40" s="98">
        <v>0.88600000000000001</v>
      </c>
      <c r="V40" s="101"/>
      <c r="W40" s="101"/>
      <c r="X40" s="101">
        <f t="shared" si="0"/>
        <v>0.88600000000000001</v>
      </c>
      <c r="Y40" s="122">
        <v>131.30000000000001</v>
      </c>
      <c r="Z40" s="106" t="str">
        <f t="shared" si="2"/>
        <v>S</v>
      </c>
      <c r="AA40" s="101" t="s">
        <v>1396</v>
      </c>
      <c r="AB40" s="101"/>
      <c r="AC40" s="101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1:38" s="107" customFormat="1">
      <c r="A41" s="101"/>
      <c r="B41" s="123" t="s">
        <v>766</v>
      </c>
      <c r="C41" s="98">
        <v>2013</v>
      </c>
      <c r="D41" s="101"/>
      <c r="E41" s="99" t="s">
        <v>172</v>
      </c>
      <c r="F41" s="98">
        <v>2011</v>
      </c>
      <c r="G41" s="98" t="s">
        <v>631</v>
      </c>
      <c r="H41" s="101" t="s">
        <v>159</v>
      </c>
      <c r="I41" s="101" t="s">
        <v>1014</v>
      </c>
      <c r="J41" s="115" t="s">
        <v>1013</v>
      </c>
      <c r="K41" s="98" t="s">
        <v>1091</v>
      </c>
      <c r="L41" s="98" t="s">
        <v>978</v>
      </c>
      <c r="M41" s="101"/>
      <c r="N41" s="101"/>
      <c r="O41" s="101" t="s">
        <v>977</v>
      </c>
      <c r="P41" s="101"/>
      <c r="Q41" s="101"/>
      <c r="R41" s="101"/>
      <c r="S41" s="101"/>
      <c r="T41" s="101"/>
      <c r="U41" s="98">
        <v>0.88500000000000001</v>
      </c>
      <c r="V41" s="101"/>
      <c r="W41" s="101"/>
      <c r="X41" s="101">
        <f t="shared" si="0"/>
        <v>0.88500000000000001</v>
      </c>
      <c r="Y41" s="122">
        <v>132.9</v>
      </c>
      <c r="Z41" s="106" t="str">
        <f t="shared" si="2"/>
        <v>S</v>
      </c>
      <c r="AA41" s="101" t="s">
        <v>1396</v>
      </c>
      <c r="AB41" s="101"/>
      <c r="AC41" s="101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1:38" s="107" customFormat="1">
      <c r="A42" s="101"/>
      <c r="B42" s="123" t="s">
        <v>766</v>
      </c>
      <c r="C42" s="98">
        <v>2013</v>
      </c>
      <c r="D42" s="101"/>
      <c r="E42" s="99" t="s">
        <v>172</v>
      </c>
      <c r="F42" s="98">
        <v>2011</v>
      </c>
      <c r="G42" s="98" t="s">
        <v>631</v>
      </c>
      <c r="H42" s="101" t="s">
        <v>159</v>
      </c>
      <c r="I42" s="101" t="s">
        <v>1014</v>
      </c>
      <c r="J42" s="115" t="s">
        <v>1013</v>
      </c>
      <c r="K42" s="98" t="s">
        <v>1091</v>
      </c>
      <c r="L42" s="98" t="s">
        <v>974</v>
      </c>
      <c r="M42" s="101"/>
      <c r="N42" s="101"/>
      <c r="O42" s="101" t="s">
        <v>972</v>
      </c>
      <c r="P42" s="101"/>
      <c r="Q42" s="101"/>
      <c r="R42" s="101"/>
      <c r="S42" s="101"/>
      <c r="T42" s="101"/>
      <c r="U42" s="98">
        <v>0.88500000000000001</v>
      </c>
      <c r="V42" s="101"/>
      <c r="W42" s="101"/>
      <c r="X42" s="101">
        <f t="shared" si="0"/>
        <v>0.88500000000000001</v>
      </c>
      <c r="Y42" s="122">
        <v>132.5</v>
      </c>
      <c r="Z42" s="106" t="str">
        <f t="shared" si="2"/>
        <v>S</v>
      </c>
      <c r="AA42" s="101" t="s">
        <v>1396</v>
      </c>
      <c r="AB42" s="101"/>
      <c r="AC42" s="101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1:38" s="107" customFormat="1">
      <c r="A43" s="101"/>
      <c r="B43" s="123" t="s">
        <v>766</v>
      </c>
      <c r="C43" s="98">
        <v>2013</v>
      </c>
      <c r="D43" s="101"/>
      <c r="E43" s="99" t="s">
        <v>172</v>
      </c>
      <c r="F43" s="98">
        <v>2011</v>
      </c>
      <c r="G43" s="98" t="s">
        <v>631</v>
      </c>
      <c r="H43" s="101" t="s">
        <v>159</v>
      </c>
      <c r="I43" s="101" t="s">
        <v>1014</v>
      </c>
      <c r="J43" s="115" t="s">
        <v>1013</v>
      </c>
      <c r="K43" s="98" t="s">
        <v>1091</v>
      </c>
      <c r="L43" s="98" t="s">
        <v>974</v>
      </c>
      <c r="M43" s="101"/>
      <c r="N43" s="101"/>
      <c r="O43" s="101" t="s">
        <v>972</v>
      </c>
      <c r="P43" s="101"/>
      <c r="Q43" s="101"/>
      <c r="R43" s="101"/>
      <c r="S43" s="101"/>
      <c r="T43" s="101"/>
      <c r="U43" s="98">
        <v>0.88400000000000001</v>
      </c>
      <c r="V43" s="101"/>
      <c r="W43" s="101"/>
      <c r="X43" s="101">
        <f t="shared" si="0"/>
        <v>0.88400000000000001</v>
      </c>
      <c r="Y43" s="122">
        <v>134</v>
      </c>
      <c r="Z43" s="106" t="str">
        <f t="shared" si="2"/>
        <v>S</v>
      </c>
      <c r="AA43" s="101" t="s">
        <v>1396</v>
      </c>
      <c r="AB43" s="101"/>
      <c r="AC43" s="101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1:38" s="107" customFormat="1">
      <c r="A44" s="101"/>
      <c r="B44" s="123" t="s">
        <v>766</v>
      </c>
      <c r="C44" s="98">
        <v>2013</v>
      </c>
      <c r="D44" s="101"/>
      <c r="E44" s="99" t="s">
        <v>172</v>
      </c>
      <c r="F44" s="98">
        <v>2011</v>
      </c>
      <c r="G44" s="98" t="s">
        <v>631</v>
      </c>
      <c r="H44" s="101" t="s">
        <v>159</v>
      </c>
      <c r="I44" s="101" t="s">
        <v>1014</v>
      </c>
      <c r="J44" s="115" t="s">
        <v>1013</v>
      </c>
      <c r="K44" s="98" t="s">
        <v>1091</v>
      </c>
      <c r="L44" s="98" t="s">
        <v>974</v>
      </c>
      <c r="M44" s="101"/>
      <c r="N44" s="101"/>
      <c r="O44" s="101" t="s">
        <v>972</v>
      </c>
      <c r="P44" s="101"/>
      <c r="Q44" s="101"/>
      <c r="R44" s="101"/>
      <c r="S44" s="101"/>
      <c r="T44" s="101"/>
      <c r="U44" s="98">
        <v>0.88400000000000001</v>
      </c>
      <c r="V44" s="101"/>
      <c r="W44" s="101"/>
      <c r="X44" s="101">
        <f t="shared" si="0"/>
        <v>0.88400000000000001</v>
      </c>
      <c r="Y44" s="122">
        <v>133.5</v>
      </c>
      <c r="Z44" s="106" t="str">
        <f t="shared" si="2"/>
        <v>S</v>
      </c>
      <c r="AA44" s="101" t="s">
        <v>1396</v>
      </c>
      <c r="AB44" s="101"/>
      <c r="AC44" s="101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1:38" s="107" customFormat="1">
      <c r="A45" s="101"/>
      <c r="B45" s="123" t="s">
        <v>766</v>
      </c>
      <c r="C45" s="98">
        <v>2013</v>
      </c>
      <c r="D45" s="101"/>
      <c r="E45" s="99" t="s">
        <v>172</v>
      </c>
      <c r="F45" s="98">
        <v>2011</v>
      </c>
      <c r="G45" s="98" t="s">
        <v>631</v>
      </c>
      <c r="H45" s="101" t="s">
        <v>159</v>
      </c>
      <c r="I45" s="101" t="s">
        <v>1014</v>
      </c>
      <c r="J45" s="115" t="s">
        <v>1013</v>
      </c>
      <c r="K45" s="98" t="s">
        <v>1091</v>
      </c>
      <c r="L45" s="98" t="s">
        <v>978</v>
      </c>
      <c r="M45" s="101"/>
      <c r="N45" s="101"/>
      <c r="O45" s="101" t="s">
        <v>977</v>
      </c>
      <c r="P45" s="101"/>
      <c r="Q45" s="101"/>
      <c r="R45" s="101"/>
      <c r="S45" s="101"/>
      <c r="T45" s="101"/>
      <c r="U45" s="98">
        <v>0.879</v>
      </c>
      <c r="V45" s="101"/>
      <c r="W45" s="101"/>
      <c r="X45" s="101">
        <f t="shared" si="0"/>
        <v>0.879</v>
      </c>
      <c r="Y45" s="122">
        <v>139.5</v>
      </c>
      <c r="Z45" s="106" t="str">
        <f t="shared" si="2"/>
        <v>S</v>
      </c>
      <c r="AA45" s="101" t="s">
        <v>1396</v>
      </c>
      <c r="AB45" s="101"/>
      <c r="AC45" s="101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1:38" s="107" customFormat="1">
      <c r="A46" s="101"/>
      <c r="B46" s="123" t="s">
        <v>766</v>
      </c>
      <c r="C46" s="98">
        <v>2013</v>
      </c>
      <c r="D46" s="101"/>
      <c r="E46" s="99" t="s">
        <v>172</v>
      </c>
      <c r="F46" s="98">
        <v>2011</v>
      </c>
      <c r="G46" s="98" t="s">
        <v>631</v>
      </c>
      <c r="H46" s="101" t="s">
        <v>159</v>
      </c>
      <c r="I46" s="101" t="s">
        <v>1014</v>
      </c>
      <c r="J46" s="115" t="s">
        <v>1013</v>
      </c>
      <c r="K46" s="98" t="s">
        <v>1091</v>
      </c>
      <c r="L46" s="98" t="s">
        <v>978</v>
      </c>
      <c r="M46" s="101"/>
      <c r="N46" s="101"/>
      <c r="O46" s="101" t="s">
        <v>977</v>
      </c>
      <c r="P46" s="101"/>
      <c r="Q46" s="101"/>
      <c r="R46" s="101"/>
      <c r="S46" s="101"/>
      <c r="T46" s="101"/>
      <c r="U46" s="98">
        <v>0.878</v>
      </c>
      <c r="V46" s="101"/>
      <c r="W46" s="101"/>
      <c r="X46" s="101">
        <f t="shared" si="0"/>
        <v>0.878</v>
      </c>
      <c r="Y46" s="122">
        <v>140.69999999999999</v>
      </c>
      <c r="Z46" s="106" t="str">
        <f t="shared" si="2"/>
        <v>S</v>
      </c>
      <c r="AA46" s="101" t="s">
        <v>1396</v>
      </c>
      <c r="AB46" s="101"/>
      <c r="AC46" s="101"/>
      <c r="AD46" s="174"/>
      <c r="AE46" s="174"/>
      <c r="AF46" s="174"/>
      <c r="AG46" s="174"/>
      <c r="AH46" s="174"/>
      <c r="AI46" s="174"/>
      <c r="AJ46" s="174"/>
      <c r="AK46" s="174"/>
      <c r="AL46" s="174"/>
    </row>
    <row r="47" spans="1:38" s="107" customFormat="1">
      <c r="A47" s="101"/>
      <c r="B47" s="123" t="s">
        <v>766</v>
      </c>
      <c r="C47" s="98">
        <v>2013</v>
      </c>
      <c r="D47" s="101"/>
      <c r="E47" s="99" t="s">
        <v>172</v>
      </c>
      <c r="F47" s="98">
        <v>2011</v>
      </c>
      <c r="G47" s="98" t="s">
        <v>631</v>
      </c>
      <c r="H47" s="101" t="s">
        <v>159</v>
      </c>
      <c r="I47" s="101" t="s">
        <v>1014</v>
      </c>
      <c r="J47" s="115" t="s">
        <v>1013</v>
      </c>
      <c r="K47" s="98" t="s">
        <v>1091</v>
      </c>
      <c r="L47" s="98" t="s">
        <v>974</v>
      </c>
      <c r="M47" s="101"/>
      <c r="N47" s="101"/>
      <c r="O47" s="101" t="s">
        <v>972</v>
      </c>
      <c r="P47" s="101"/>
      <c r="Q47" s="101"/>
      <c r="R47" s="101"/>
      <c r="S47" s="101"/>
      <c r="T47" s="101"/>
      <c r="U47" s="98">
        <v>0.876</v>
      </c>
      <c r="V47" s="101"/>
      <c r="W47" s="101"/>
      <c r="X47" s="101">
        <f t="shared" si="0"/>
        <v>0.876</v>
      </c>
      <c r="Y47" s="122">
        <v>143.19999999999999</v>
      </c>
      <c r="Z47" s="106" t="str">
        <f t="shared" si="2"/>
        <v>S</v>
      </c>
      <c r="AA47" s="101" t="s">
        <v>1396</v>
      </c>
      <c r="AB47" s="101"/>
      <c r="AC47" s="101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1:38" s="107" customFormat="1">
      <c r="A48" s="101"/>
      <c r="B48" s="123" t="s">
        <v>766</v>
      </c>
      <c r="C48" s="98">
        <v>2013</v>
      </c>
      <c r="D48" s="101"/>
      <c r="E48" s="99" t="s">
        <v>172</v>
      </c>
      <c r="F48" s="98">
        <v>2011</v>
      </c>
      <c r="G48" s="98" t="s">
        <v>631</v>
      </c>
      <c r="H48" s="101" t="s">
        <v>159</v>
      </c>
      <c r="I48" s="101" t="s">
        <v>1014</v>
      </c>
      <c r="J48" s="115" t="s">
        <v>1013</v>
      </c>
      <c r="K48" s="98" t="s">
        <v>1091</v>
      </c>
      <c r="L48" s="98" t="s">
        <v>978</v>
      </c>
      <c r="M48" s="101"/>
      <c r="N48" s="101"/>
      <c r="O48" s="101" t="s">
        <v>977</v>
      </c>
      <c r="P48" s="101"/>
      <c r="Q48" s="101"/>
      <c r="R48" s="101"/>
      <c r="S48" s="101"/>
      <c r="T48" s="101"/>
      <c r="U48" s="98">
        <v>0.876</v>
      </c>
      <c r="V48" s="101"/>
      <c r="W48" s="101"/>
      <c r="X48" s="101">
        <f t="shared" si="0"/>
        <v>0.876</v>
      </c>
      <c r="Y48" s="122">
        <v>143.1</v>
      </c>
      <c r="Z48" s="106" t="str">
        <f t="shared" si="2"/>
        <v>S</v>
      </c>
      <c r="AA48" s="101" t="s">
        <v>1396</v>
      </c>
      <c r="AB48" s="101"/>
      <c r="AC48" s="101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1:38" s="107" customFormat="1">
      <c r="A49" s="101"/>
      <c r="B49" s="123" t="s">
        <v>766</v>
      </c>
      <c r="C49" s="98">
        <v>2013</v>
      </c>
      <c r="D49" s="101"/>
      <c r="E49" s="99" t="s">
        <v>172</v>
      </c>
      <c r="F49" s="98">
        <v>2011</v>
      </c>
      <c r="G49" s="98" t="s">
        <v>631</v>
      </c>
      <c r="H49" s="101" t="s">
        <v>159</v>
      </c>
      <c r="I49" s="101" t="s">
        <v>1014</v>
      </c>
      <c r="J49" s="115" t="s">
        <v>1013</v>
      </c>
      <c r="K49" s="98" t="s">
        <v>1091</v>
      </c>
      <c r="L49" s="98" t="s">
        <v>978</v>
      </c>
      <c r="M49" s="101"/>
      <c r="N49" s="101"/>
      <c r="O49" s="101" t="s">
        <v>977</v>
      </c>
      <c r="P49" s="101"/>
      <c r="Q49" s="101"/>
      <c r="R49" s="101"/>
      <c r="S49" s="101"/>
      <c r="T49" s="101"/>
      <c r="U49" s="98">
        <v>0.876</v>
      </c>
      <c r="V49" s="101"/>
      <c r="W49" s="101"/>
      <c r="X49" s="101">
        <f t="shared" si="0"/>
        <v>0.876</v>
      </c>
      <c r="Y49" s="122">
        <v>143.1</v>
      </c>
      <c r="Z49" s="106" t="str">
        <f t="shared" si="2"/>
        <v>S</v>
      </c>
      <c r="AA49" s="101" t="s">
        <v>1396</v>
      </c>
      <c r="AB49" s="101"/>
      <c r="AC49" s="101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1:38" s="107" customFormat="1">
      <c r="A50" s="101"/>
      <c r="B50" s="123" t="s">
        <v>766</v>
      </c>
      <c r="C50" s="98">
        <v>2013</v>
      </c>
      <c r="D50" s="101"/>
      <c r="E50" s="99" t="s">
        <v>172</v>
      </c>
      <c r="F50" s="98">
        <v>2011</v>
      </c>
      <c r="G50" s="98" t="s">
        <v>631</v>
      </c>
      <c r="H50" s="101" t="s">
        <v>159</v>
      </c>
      <c r="I50" s="101" t="s">
        <v>1014</v>
      </c>
      <c r="J50" s="115" t="s">
        <v>1013</v>
      </c>
      <c r="K50" s="98" t="s">
        <v>1091</v>
      </c>
      <c r="L50" s="98" t="s">
        <v>978</v>
      </c>
      <c r="M50" s="101"/>
      <c r="N50" s="101"/>
      <c r="O50" s="101" t="s">
        <v>977</v>
      </c>
      <c r="P50" s="101"/>
      <c r="Q50" s="101"/>
      <c r="R50" s="101"/>
      <c r="S50" s="101"/>
      <c r="T50" s="101"/>
      <c r="U50" s="98">
        <v>0.876</v>
      </c>
      <c r="V50" s="101"/>
      <c r="W50" s="101"/>
      <c r="X50" s="101">
        <f t="shared" si="0"/>
        <v>0.876</v>
      </c>
      <c r="Y50" s="122">
        <v>142.69999999999999</v>
      </c>
      <c r="Z50" s="106" t="str">
        <f t="shared" si="2"/>
        <v>S</v>
      </c>
      <c r="AA50" s="101" t="s">
        <v>1396</v>
      </c>
      <c r="AB50" s="101"/>
      <c r="AC50" s="101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1:38" s="107" customFormat="1">
      <c r="A51" s="101"/>
      <c r="B51" s="123" t="s">
        <v>766</v>
      </c>
      <c r="C51" s="98">
        <v>2013</v>
      </c>
      <c r="D51" s="101"/>
      <c r="E51" s="99" t="s">
        <v>172</v>
      </c>
      <c r="F51" s="98">
        <v>2011</v>
      </c>
      <c r="G51" s="98" t="s">
        <v>631</v>
      </c>
      <c r="H51" s="101" t="s">
        <v>159</v>
      </c>
      <c r="I51" s="101" t="s">
        <v>1014</v>
      </c>
      <c r="J51" s="115" t="s">
        <v>1013</v>
      </c>
      <c r="K51" s="98" t="s">
        <v>1091</v>
      </c>
      <c r="L51" s="98" t="s">
        <v>974</v>
      </c>
      <c r="M51" s="101"/>
      <c r="N51" s="101"/>
      <c r="O51" s="101" t="s">
        <v>972</v>
      </c>
      <c r="P51" s="101"/>
      <c r="Q51" s="101"/>
      <c r="R51" s="101"/>
      <c r="S51" s="101"/>
      <c r="T51" s="101"/>
      <c r="U51" s="98">
        <v>0.875</v>
      </c>
      <c r="V51" s="101"/>
      <c r="W51" s="101"/>
      <c r="X51" s="101">
        <f t="shared" si="0"/>
        <v>0.875</v>
      </c>
      <c r="Y51" s="122">
        <v>144.80000000000001</v>
      </c>
      <c r="Z51" s="106" t="str">
        <f t="shared" si="2"/>
        <v>S</v>
      </c>
      <c r="AA51" s="101" t="s">
        <v>1396</v>
      </c>
      <c r="AB51" s="101"/>
      <c r="AC51" s="101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1:38" s="107" customFormat="1">
      <c r="A52" s="101"/>
      <c r="B52" s="123" t="s">
        <v>766</v>
      </c>
      <c r="C52" s="98">
        <v>2013</v>
      </c>
      <c r="D52" s="101"/>
      <c r="E52" s="99" t="s">
        <v>172</v>
      </c>
      <c r="F52" s="98">
        <v>2011</v>
      </c>
      <c r="G52" s="98" t="s">
        <v>631</v>
      </c>
      <c r="H52" s="101" t="s">
        <v>159</v>
      </c>
      <c r="I52" s="101" t="s">
        <v>1014</v>
      </c>
      <c r="J52" s="115" t="s">
        <v>1013</v>
      </c>
      <c r="K52" s="98" t="s">
        <v>1091</v>
      </c>
      <c r="L52" s="98" t="s">
        <v>978</v>
      </c>
      <c r="M52" s="101"/>
      <c r="N52" s="101"/>
      <c r="O52" s="101" t="s">
        <v>977</v>
      </c>
      <c r="P52" s="101"/>
      <c r="Q52" s="101"/>
      <c r="R52" s="101"/>
      <c r="S52" s="101"/>
      <c r="T52" s="101"/>
      <c r="U52" s="98">
        <v>0.875</v>
      </c>
      <c r="V52" s="101"/>
      <c r="W52" s="101"/>
      <c r="X52" s="101">
        <f t="shared" si="0"/>
        <v>0.875</v>
      </c>
      <c r="Y52" s="122">
        <v>144</v>
      </c>
      <c r="Z52" s="106" t="str">
        <f t="shared" si="2"/>
        <v>S</v>
      </c>
      <c r="AA52" s="101" t="s">
        <v>1396</v>
      </c>
      <c r="AB52" s="101"/>
      <c r="AC52" s="101"/>
      <c r="AD52" s="174"/>
      <c r="AE52" s="174"/>
      <c r="AF52" s="174"/>
      <c r="AG52" s="174"/>
      <c r="AH52" s="174"/>
      <c r="AI52" s="174"/>
      <c r="AJ52" s="174"/>
      <c r="AK52" s="174"/>
      <c r="AL52" s="174"/>
    </row>
    <row r="53" spans="1:38" s="107" customFormat="1">
      <c r="A53" s="101"/>
      <c r="B53" s="123" t="s">
        <v>766</v>
      </c>
      <c r="C53" s="98">
        <v>2013</v>
      </c>
      <c r="D53" s="101"/>
      <c r="E53" s="99" t="s">
        <v>172</v>
      </c>
      <c r="F53" s="98">
        <v>2011</v>
      </c>
      <c r="G53" s="98" t="s">
        <v>631</v>
      </c>
      <c r="H53" s="101" t="s">
        <v>159</v>
      </c>
      <c r="I53" s="101" t="s">
        <v>1014</v>
      </c>
      <c r="J53" s="115" t="s">
        <v>1013</v>
      </c>
      <c r="K53" s="98" t="s">
        <v>1091</v>
      </c>
      <c r="L53" s="98" t="s">
        <v>974</v>
      </c>
      <c r="M53" s="101"/>
      <c r="N53" s="101"/>
      <c r="O53" s="101" t="s">
        <v>972</v>
      </c>
      <c r="P53" s="101"/>
      <c r="Q53" s="101"/>
      <c r="R53" s="101"/>
      <c r="S53" s="101"/>
      <c r="T53" s="101"/>
      <c r="U53" s="98">
        <v>0.875</v>
      </c>
      <c r="V53" s="101"/>
      <c r="W53" s="101"/>
      <c r="X53" s="101">
        <f t="shared" si="0"/>
        <v>0.875</v>
      </c>
      <c r="Y53" s="122">
        <v>143.80000000000001</v>
      </c>
      <c r="Z53" s="106" t="str">
        <f t="shared" si="2"/>
        <v>S</v>
      </c>
      <c r="AA53" s="101" t="s">
        <v>1396</v>
      </c>
      <c r="AB53" s="101"/>
      <c r="AC53" s="101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1:38" s="107" customFormat="1">
      <c r="A54" s="101"/>
      <c r="B54" s="123" t="s">
        <v>766</v>
      </c>
      <c r="C54" s="98">
        <v>2013</v>
      </c>
      <c r="D54" s="101"/>
      <c r="E54" s="99" t="s">
        <v>172</v>
      </c>
      <c r="F54" s="98">
        <v>2011</v>
      </c>
      <c r="G54" s="98" t="s">
        <v>631</v>
      </c>
      <c r="H54" s="101" t="s">
        <v>159</v>
      </c>
      <c r="I54" s="101" t="s">
        <v>1014</v>
      </c>
      <c r="J54" s="115" t="s">
        <v>1013</v>
      </c>
      <c r="K54" s="98" t="s">
        <v>1091</v>
      </c>
      <c r="L54" s="98" t="s">
        <v>978</v>
      </c>
      <c r="M54" s="101"/>
      <c r="N54" s="101"/>
      <c r="O54" s="101" t="s">
        <v>977</v>
      </c>
      <c r="P54" s="101"/>
      <c r="Q54" s="101"/>
      <c r="R54" s="101"/>
      <c r="S54" s="101"/>
      <c r="T54" s="101"/>
      <c r="U54" s="98">
        <v>0.873</v>
      </c>
      <c r="V54" s="101"/>
      <c r="W54" s="101"/>
      <c r="X54" s="101">
        <f t="shared" si="0"/>
        <v>0.873</v>
      </c>
      <c r="Y54" s="122">
        <v>147.1</v>
      </c>
      <c r="Z54" s="106" t="str">
        <f t="shared" si="2"/>
        <v>S</v>
      </c>
      <c r="AA54" s="101" t="s">
        <v>1396</v>
      </c>
      <c r="AB54" s="101"/>
      <c r="AC54" s="101"/>
      <c r="AD54" s="174"/>
      <c r="AE54" s="174"/>
      <c r="AF54" s="174"/>
      <c r="AG54" s="174"/>
      <c r="AH54" s="174"/>
      <c r="AI54" s="174"/>
      <c r="AJ54" s="174"/>
      <c r="AK54" s="174"/>
      <c r="AL54" s="174"/>
    </row>
    <row r="55" spans="1:38" s="107" customFormat="1">
      <c r="A55" s="101"/>
      <c r="B55" s="123" t="s">
        <v>766</v>
      </c>
      <c r="C55" s="98">
        <v>2013</v>
      </c>
      <c r="D55" s="101"/>
      <c r="E55" s="99" t="s">
        <v>172</v>
      </c>
      <c r="F55" s="98">
        <v>2011</v>
      </c>
      <c r="G55" s="98" t="s">
        <v>631</v>
      </c>
      <c r="H55" s="101" t="s">
        <v>159</v>
      </c>
      <c r="I55" s="101" t="s">
        <v>1014</v>
      </c>
      <c r="J55" s="115" t="s">
        <v>1013</v>
      </c>
      <c r="K55" s="98" t="s">
        <v>1091</v>
      </c>
      <c r="L55" s="98" t="s">
        <v>974</v>
      </c>
      <c r="M55" s="101"/>
      <c r="N55" s="101"/>
      <c r="O55" s="101" t="s">
        <v>972</v>
      </c>
      <c r="P55" s="101"/>
      <c r="Q55" s="101"/>
      <c r="R55" s="101"/>
      <c r="S55" s="101"/>
      <c r="T55" s="101"/>
      <c r="U55" s="98">
        <v>0.871</v>
      </c>
      <c r="V55" s="101"/>
      <c r="W55" s="101"/>
      <c r="X55" s="101">
        <f t="shared" si="0"/>
        <v>0.871</v>
      </c>
      <c r="Y55" s="122">
        <v>149</v>
      </c>
      <c r="Z55" s="106" t="str">
        <f t="shared" si="2"/>
        <v>S</v>
      </c>
      <c r="AA55" s="101" t="s">
        <v>1396</v>
      </c>
      <c r="AB55" s="101"/>
      <c r="AC55" s="101"/>
      <c r="AD55" s="174"/>
      <c r="AE55" s="174"/>
      <c r="AF55" s="174"/>
      <c r="AG55" s="174"/>
      <c r="AH55" s="174"/>
      <c r="AI55" s="174"/>
      <c r="AJ55" s="174"/>
      <c r="AK55" s="174"/>
      <c r="AL55" s="174"/>
    </row>
    <row r="56" spans="1:38" s="107" customFormat="1">
      <c r="A56" s="101"/>
      <c r="B56" s="123" t="s">
        <v>766</v>
      </c>
      <c r="C56" s="98">
        <v>2013</v>
      </c>
      <c r="D56" s="101"/>
      <c r="E56" s="99" t="s">
        <v>172</v>
      </c>
      <c r="F56" s="98">
        <v>2011</v>
      </c>
      <c r="G56" s="98" t="s">
        <v>631</v>
      </c>
      <c r="H56" s="101" t="s">
        <v>159</v>
      </c>
      <c r="I56" s="101" t="s">
        <v>1014</v>
      </c>
      <c r="J56" s="115" t="s">
        <v>1013</v>
      </c>
      <c r="K56" s="98" t="s">
        <v>1091</v>
      </c>
      <c r="L56" s="98" t="s">
        <v>978</v>
      </c>
      <c r="M56" s="101"/>
      <c r="N56" s="101"/>
      <c r="O56" s="101" t="s">
        <v>977</v>
      </c>
      <c r="P56" s="101"/>
      <c r="Q56" s="101"/>
      <c r="R56" s="101"/>
      <c r="S56" s="101"/>
      <c r="T56" s="101"/>
      <c r="U56" s="98">
        <v>0.871</v>
      </c>
      <c r="V56" s="101"/>
      <c r="W56" s="101"/>
      <c r="X56" s="101">
        <f t="shared" si="0"/>
        <v>0.871</v>
      </c>
      <c r="Y56" s="122">
        <v>149</v>
      </c>
      <c r="Z56" s="106" t="str">
        <f t="shared" si="2"/>
        <v>S</v>
      </c>
      <c r="AA56" s="101" t="s">
        <v>1396</v>
      </c>
      <c r="AB56" s="101"/>
      <c r="AC56" s="101"/>
      <c r="AD56" s="174"/>
      <c r="AE56" s="174"/>
      <c r="AF56" s="174"/>
      <c r="AG56" s="174"/>
      <c r="AH56" s="174"/>
      <c r="AI56" s="174"/>
      <c r="AJ56" s="174"/>
      <c r="AK56" s="174"/>
      <c r="AL56" s="174"/>
    </row>
    <row r="57" spans="1:38" s="107" customFormat="1">
      <c r="A57" s="101"/>
      <c r="B57" s="123" t="s">
        <v>766</v>
      </c>
      <c r="C57" s="98">
        <v>2013</v>
      </c>
      <c r="D57" s="101"/>
      <c r="E57" s="99" t="s">
        <v>172</v>
      </c>
      <c r="F57" s="98">
        <v>2011</v>
      </c>
      <c r="G57" s="98" t="s">
        <v>631</v>
      </c>
      <c r="H57" s="101" t="s">
        <v>159</v>
      </c>
      <c r="I57" s="101" t="s">
        <v>1014</v>
      </c>
      <c r="J57" s="115" t="s">
        <v>1013</v>
      </c>
      <c r="K57" s="98" t="s">
        <v>1091</v>
      </c>
      <c r="L57" s="98" t="s">
        <v>974</v>
      </c>
      <c r="M57" s="101"/>
      <c r="N57" s="101"/>
      <c r="O57" s="101" t="s">
        <v>972</v>
      </c>
      <c r="P57" s="101"/>
      <c r="Q57" s="101"/>
      <c r="R57" s="101"/>
      <c r="S57" s="101"/>
      <c r="T57" s="101"/>
      <c r="U57" s="98">
        <v>0.86899999999999999</v>
      </c>
      <c r="V57" s="101"/>
      <c r="W57" s="101"/>
      <c r="X57" s="101">
        <f t="shared" si="0"/>
        <v>0.86899999999999999</v>
      </c>
      <c r="Y57" s="122">
        <v>150.9</v>
      </c>
      <c r="Z57" s="106" t="str">
        <f t="shared" si="2"/>
        <v>S</v>
      </c>
      <c r="AA57" s="101" t="s">
        <v>1396</v>
      </c>
      <c r="AB57" s="101"/>
      <c r="AC57" s="101"/>
      <c r="AD57" s="174"/>
      <c r="AE57" s="174"/>
      <c r="AF57" s="174"/>
      <c r="AG57" s="174"/>
      <c r="AH57" s="174"/>
      <c r="AI57" s="174"/>
      <c r="AJ57" s="174"/>
      <c r="AK57" s="174"/>
      <c r="AL57" s="174"/>
    </row>
    <row r="58" spans="1:38" s="107" customFormat="1">
      <c r="A58" s="101"/>
      <c r="B58" s="123" t="s">
        <v>766</v>
      </c>
      <c r="C58" s="98">
        <v>2013</v>
      </c>
      <c r="D58" s="101"/>
      <c r="E58" s="99" t="s">
        <v>172</v>
      </c>
      <c r="F58" s="98">
        <v>2011</v>
      </c>
      <c r="G58" s="98" t="s">
        <v>631</v>
      </c>
      <c r="H58" s="101" t="s">
        <v>159</v>
      </c>
      <c r="I58" s="101" t="s">
        <v>1014</v>
      </c>
      <c r="J58" s="115" t="s">
        <v>1013</v>
      </c>
      <c r="K58" s="98" t="s">
        <v>1091</v>
      </c>
      <c r="L58" s="98" t="s">
        <v>978</v>
      </c>
      <c r="M58" s="101"/>
      <c r="N58" s="101"/>
      <c r="O58" s="101" t="s">
        <v>977</v>
      </c>
      <c r="P58" s="101"/>
      <c r="Q58" s="101"/>
      <c r="R58" s="101"/>
      <c r="S58" s="101"/>
      <c r="T58" s="101"/>
      <c r="U58" s="98">
        <v>0.86899999999999999</v>
      </c>
      <c r="V58" s="101"/>
      <c r="W58" s="101"/>
      <c r="X58" s="101">
        <f t="shared" si="0"/>
        <v>0.86899999999999999</v>
      </c>
      <c r="Y58" s="122">
        <v>150.80000000000001</v>
      </c>
      <c r="Z58" s="106" t="str">
        <f t="shared" si="2"/>
        <v>S</v>
      </c>
      <c r="AA58" s="101" t="s">
        <v>1396</v>
      </c>
      <c r="AB58" s="101"/>
      <c r="AC58" s="101"/>
      <c r="AD58" s="174"/>
      <c r="AE58" s="174"/>
      <c r="AF58" s="174"/>
      <c r="AG58" s="174"/>
      <c r="AH58" s="174"/>
      <c r="AI58" s="174"/>
      <c r="AJ58" s="174"/>
      <c r="AK58" s="174"/>
      <c r="AL58" s="174"/>
    </row>
    <row r="59" spans="1:38" s="107" customFormat="1">
      <c r="A59" s="101"/>
      <c r="B59" s="123" t="s">
        <v>766</v>
      </c>
      <c r="C59" s="98">
        <v>2013</v>
      </c>
      <c r="D59" s="101"/>
      <c r="E59" s="99" t="s">
        <v>172</v>
      </c>
      <c r="F59" s="98">
        <v>2011</v>
      </c>
      <c r="G59" s="98" t="s">
        <v>631</v>
      </c>
      <c r="H59" s="101" t="s">
        <v>159</v>
      </c>
      <c r="I59" s="101" t="s">
        <v>1014</v>
      </c>
      <c r="J59" s="115" t="s">
        <v>1013</v>
      </c>
      <c r="K59" s="98" t="s">
        <v>1091</v>
      </c>
      <c r="L59" s="98" t="s">
        <v>978</v>
      </c>
      <c r="M59" s="101"/>
      <c r="N59" s="101"/>
      <c r="O59" s="101" t="s">
        <v>977</v>
      </c>
      <c r="P59" s="101"/>
      <c r="Q59" s="101"/>
      <c r="R59" s="101"/>
      <c r="S59" s="101"/>
      <c r="T59" s="101"/>
      <c r="U59" s="98">
        <v>0.86599999999999999</v>
      </c>
      <c r="V59" s="101"/>
      <c r="W59" s="101"/>
      <c r="X59" s="101">
        <f t="shared" si="0"/>
        <v>0.86599999999999999</v>
      </c>
      <c r="Y59" s="122">
        <v>154.6</v>
      </c>
      <c r="Z59" s="106" t="str">
        <f t="shared" si="2"/>
        <v>S</v>
      </c>
      <c r="AA59" s="101" t="s">
        <v>1396</v>
      </c>
      <c r="AB59" s="101"/>
      <c r="AC59" s="101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1:38" s="107" customFormat="1">
      <c r="A60" s="101"/>
      <c r="B60" s="123" t="s">
        <v>766</v>
      </c>
      <c r="C60" s="98">
        <v>2013</v>
      </c>
      <c r="D60" s="101"/>
      <c r="E60" s="99" t="s">
        <v>172</v>
      </c>
      <c r="F60" s="98">
        <v>2011</v>
      </c>
      <c r="G60" s="98" t="s">
        <v>631</v>
      </c>
      <c r="H60" s="101" t="s">
        <v>159</v>
      </c>
      <c r="I60" s="101" t="s">
        <v>1014</v>
      </c>
      <c r="J60" s="115" t="s">
        <v>1013</v>
      </c>
      <c r="K60" s="98" t="s">
        <v>1091</v>
      </c>
      <c r="L60" s="98" t="s">
        <v>975</v>
      </c>
      <c r="M60" s="101"/>
      <c r="N60" s="101"/>
      <c r="O60" s="101" t="s">
        <v>976</v>
      </c>
      <c r="P60" s="101"/>
      <c r="Q60" s="101"/>
      <c r="R60" s="101"/>
      <c r="S60" s="101"/>
      <c r="T60" s="101"/>
      <c r="U60" s="98">
        <v>0.86599999999999999</v>
      </c>
      <c r="V60" s="101"/>
      <c r="W60" s="101"/>
      <c r="X60" s="101">
        <f t="shared" si="0"/>
        <v>0.86599999999999999</v>
      </c>
      <c r="Y60" s="122">
        <v>154.19999999999999</v>
      </c>
      <c r="Z60" s="106" t="str">
        <f t="shared" si="2"/>
        <v>S</v>
      </c>
      <c r="AA60" s="101" t="s">
        <v>1396</v>
      </c>
      <c r="AB60" s="101"/>
      <c r="AC60" s="101"/>
      <c r="AD60" s="174"/>
      <c r="AE60" s="174"/>
      <c r="AF60" s="174"/>
      <c r="AG60" s="174"/>
      <c r="AH60" s="174"/>
      <c r="AI60" s="174"/>
      <c r="AJ60" s="174"/>
      <c r="AK60" s="174"/>
      <c r="AL60" s="174"/>
    </row>
    <row r="61" spans="1:38" s="107" customFormat="1">
      <c r="A61" s="101"/>
      <c r="B61" s="123" t="s">
        <v>766</v>
      </c>
      <c r="C61" s="98">
        <v>2013</v>
      </c>
      <c r="D61" s="101"/>
      <c r="E61" s="99" t="s">
        <v>172</v>
      </c>
      <c r="F61" s="98">
        <v>2011</v>
      </c>
      <c r="G61" s="98" t="s">
        <v>631</v>
      </c>
      <c r="H61" s="101" t="s">
        <v>159</v>
      </c>
      <c r="I61" s="101" t="s">
        <v>1014</v>
      </c>
      <c r="J61" s="115" t="s">
        <v>1013</v>
      </c>
      <c r="K61" s="98" t="s">
        <v>1091</v>
      </c>
      <c r="L61" s="98" t="s">
        <v>978</v>
      </c>
      <c r="M61" s="101"/>
      <c r="N61" s="101"/>
      <c r="O61" s="101" t="s">
        <v>977</v>
      </c>
      <c r="P61" s="101"/>
      <c r="Q61" s="101"/>
      <c r="R61" s="101"/>
      <c r="S61" s="101"/>
      <c r="T61" s="101"/>
      <c r="U61" s="98">
        <v>0.86499999999999999</v>
      </c>
      <c r="V61" s="101"/>
      <c r="W61" s="101"/>
      <c r="X61" s="101">
        <f t="shared" si="0"/>
        <v>0.86499999999999999</v>
      </c>
      <c r="Y61" s="122">
        <v>155.1</v>
      </c>
      <c r="Z61" s="106" t="str">
        <f t="shared" si="2"/>
        <v>S</v>
      </c>
      <c r="AA61" s="101" t="s">
        <v>1396</v>
      </c>
      <c r="AB61" s="101"/>
      <c r="AC61" s="101"/>
      <c r="AD61" s="174"/>
      <c r="AE61" s="174"/>
      <c r="AF61" s="174"/>
      <c r="AG61" s="174"/>
      <c r="AH61" s="174"/>
      <c r="AI61" s="174"/>
      <c r="AJ61" s="174"/>
      <c r="AK61" s="174"/>
      <c r="AL61" s="174"/>
    </row>
    <row r="62" spans="1:38" s="107" customFormat="1">
      <c r="A62" s="101"/>
      <c r="B62" s="123" t="s">
        <v>766</v>
      </c>
      <c r="C62" s="98">
        <v>2013</v>
      </c>
      <c r="D62" s="101"/>
      <c r="E62" s="99" t="s">
        <v>172</v>
      </c>
      <c r="F62" s="98">
        <v>2011</v>
      </c>
      <c r="G62" s="98" t="s">
        <v>631</v>
      </c>
      <c r="H62" s="101" t="s">
        <v>159</v>
      </c>
      <c r="I62" s="101" t="s">
        <v>1014</v>
      </c>
      <c r="J62" s="115" t="s">
        <v>1013</v>
      </c>
      <c r="K62" s="98" t="s">
        <v>1091</v>
      </c>
      <c r="L62" s="98" t="s">
        <v>978</v>
      </c>
      <c r="M62" s="101"/>
      <c r="N62" s="101"/>
      <c r="O62" s="101" t="s">
        <v>977</v>
      </c>
      <c r="P62" s="101"/>
      <c r="Q62" s="101"/>
      <c r="R62" s="101"/>
      <c r="S62" s="101"/>
      <c r="T62" s="101"/>
      <c r="U62" s="98">
        <v>0.86399999999999999</v>
      </c>
      <c r="V62" s="101"/>
      <c r="W62" s="101"/>
      <c r="X62" s="101">
        <f t="shared" si="0"/>
        <v>0.86399999999999999</v>
      </c>
      <c r="Y62" s="122">
        <v>157</v>
      </c>
      <c r="Z62" s="106" t="str">
        <f t="shared" si="2"/>
        <v>S</v>
      </c>
      <c r="AA62" s="101" t="s">
        <v>1396</v>
      </c>
      <c r="AB62" s="101"/>
      <c r="AC62" s="101"/>
      <c r="AD62" s="174"/>
      <c r="AE62" s="174"/>
      <c r="AF62" s="174"/>
      <c r="AG62" s="174"/>
      <c r="AH62" s="174"/>
      <c r="AI62" s="174"/>
      <c r="AJ62" s="174"/>
      <c r="AK62" s="174"/>
      <c r="AL62" s="174"/>
    </row>
    <row r="63" spans="1:38" s="107" customFormat="1">
      <c r="A63" s="101"/>
      <c r="B63" s="123" t="s">
        <v>766</v>
      </c>
      <c r="C63" s="98">
        <v>2013</v>
      </c>
      <c r="D63" s="101"/>
      <c r="E63" s="99" t="s">
        <v>172</v>
      </c>
      <c r="F63" s="98">
        <v>2011</v>
      </c>
      <c r="G63" s="98" t="s">
        <v>631</v>
      </c>
      <c r="H63" s="101" t="s">
        <v>159</v>
      </c>
      <c r="I63" s="101" t="s">
        <v>1014</v>
      </c>
      <c r="J63" s="115" t="s">
        <v>1013</v>
      </c>
      <c r="K63" s="98" t="s">
        <v>1091</v>
      </c>
      <c r="L63" s="98" t="s">
        <v>978</v>
      </c>
      <c r="M63" s="101"/>
      <c r="N63" s="101"/>
      <c r="O63" s="101" t="s">
        <v>977</v>
      </c>
      <c r="P63" s="101"/>
      <c r="Q63" s="101"/>
      <c r="R63" s="101"/>
      <c r="S63" s="101"/>
      <c r="T63" s="101"/>
      <c r="U63" s="98">
        <v>0.86299999999999999</v>
      </c>
      <c r="V63" s="101"/>
      <c r="W63" s="101"/>
      <c r="X63" s="101">
        <f t="shared" si="0"/>
        <v>0.86299999999999999</v>
      </c>
      <c r="Y63" s="122">
        <v>158.4</v>
      </c>
      <c r="Z63" s="106" t="str">
        <f t="shared" si="2"/>
        <v>S</v>
      </c>
      <c r="AA63" s="101" t="s">
        <v>1396</v>
      </c>
      <c r="AB63" s="101"/>
      <c r="AC63" s="101"/>
      <c r="AD63" s="174"/>
      <c r="AE63" s="174"/>
      <c r="AF63" s="174"/>
      <c r="AG63" s="174"/>
      <c r="AH63" s="174"/>
      <c r="AI63" s="174"/>
      <c r="AJ63" s="174"/>
      <c r="AK63" s="174"/>
      <c r="AL63" s="174"/>
    </row>
    <row r="64" spans="1:38" s="107" customFormat="1">
      <c r="A64" s="101"/>
      <c r="B64" s="123" t="s">
        <v>766</v>
      </c>
      <c r="C64" s="98">
        <v>2013</v>
      </c>
      <c r="D64" s="101"/>
      <c r="E64" s="99" t="s">
        <v>172</v>
      </c>
      <c r="F64" s="98">
        <v>2011</v>
      </c>
      <c r="G64" s="98" t="s">
        <v>631</v>
      </c>
      <c r="H64" s="101" t="s">
        <v>159</v>
      </c>
      <c r="I64" s="101" t="s">
        <v>1014</v>
      </c>
      <c r="J64" s="115" t="s">
        <v>1013</v>
      </c>
      <c r="K64" s="98" t="s">
        <v>1091</v>
      </c>
      <c r="L64" s="98" t="s">
        <v>978</v>
      </c>
      <c r="M64" s="101"/>
      <c r="N64" s="101"/>
      <c r="O64" s="101" t="s">
        <v>977</v>
      </c>
      <c r="P64" s="101"/>
      <c r="Q64" s="101"/>
      <c r="R64" s="101"/>
      <c r="S64" s="101"/>
      <c r="T64" s="101"/>
      <c r="U64" s="98">
        <v>0.86299999999999999</v>
      </c>
      <c r="V64" s="101"/>
      <c r="W64" s="101"/>
      <c r="X64" s="101">
        <f t="shared" si="0"/>
        <v>0.86299999999999999</v>
      </c>
      <c r="Y64" s="122">
        <v>158.30000000000001</v>
      </c>
      <c r="Z64" s="106" t="str">
        <f t="shared" si="2"/>
        <v>S</v>
      </c>
      <c r="AA64" s="101" t="s">
        <v>1396</v>
      </c>
      <c r="AB64" s="101"/>
      <c r="AC64" s="101"/>
      <c r="AD64" s="174"/>
      <c r="AE64" s="174"/>
      <c r="AF64" s="174"/>
      <c r="AG64" s="174"/>
      <c r="AH64" s="174"/>
      <c r="AI64" s="174"/>
      <c r="AJ64" s="174"/>
      <c r="AK64" s="174"/>
      <c r="AL64" s="174"/>
    </row>
    <row r="65" spans="1:38" s="107" customFormat="1">
      <c r="A65" s="101"/>
      <c r="B65" s="123" t="s">
        <v>766</v>
      </c>
      <c r="C65" s="98">
        <v>2013</v>
      </c>
      <c r="D65" s="101"/>
      <c r="E65" s="99" t="s">
        <v>172</v>
      </c>
      <c r="F65" s="98">
        <v>2011</v>
      </c>
      <c r="G65" s="98" t="s">
        <v>631</v>
      </c>
      <c r="H65" s="101" t="s">
        <v>159</v>
      </c>
      <c r="I65" s="101" t="s">
        <v>1014</v>
      </c>
      <c r="J65" s="115" t="s">
        <v>1013</v>
      </c>
      <c r="K65" s="98" t="s">
        <v>1091</v>
      </c>
      <c r="L65" s="98" t="s">
        <v>974</v>
      </c>
      <c r="M65" s="101"/>
      <c r="N65" s="101"/>
      <c r="O65" s="101" t="s">
        <v>972</v>
      </c>
      <c r="P65" s="101"/>
      <c r="Q65" s="101"/>
      <c r="R65" s="101"/>
      <c r="S65" s="101"/>
      <c r="T65" s="101"/>
      <c r="U65" s="98">
        <v>0.84899999999999998</v>
      </c>
      <c r="V65" s="101"/>
      <c r="W65" s="101"/>
      <c r="X65" s="101">
        <f t="shared" si="0"/>
        <v>0.84899999999999998</v>
      </c>
      <c r="Y65" s="122">
        <v>173</v>
      </c>
      <c r="Z65" s="106" t="str">
        <f t="shared" si="2"/>
        <v>S</v>
      </c>
      <c r="AA65" s="101" t="s">
        <v>1396</v>
      </c>
      <c r="AB65" s="101"/>
      <c r="AC65" s="101"/>
      <c r="AD65" s="174"/>
      <c r="AE65" s="174"/>
      <c r="AF65" s="174"/>
      <c r="AG65" s="174"/>
      <c r="AH65" s="174"/>
      <c r="AI65" s="174"/>
      <c r="AJ65" s="174"/>
      <c r="AK65" s="174"/>
      <c r="AL65" s="174"/>
    </row>
    <row r="66" spans="1:38" s="107" customFormat="1">
      <c r="A66" s="101"/>
      <c r="B66" s="123" t="s">
        <v>766</v>
      </c>
      <c r="C66" s="98">
        <v>2013</v>
      </c>
      <c r="D66" s="101"/>
      <c r="E66" s="99" t="s">
        <v>172</v>
      </c>
      <c r="F66" s="98">
        <v>2011</v>
      </c>
      <c r="G66" s="98" t="s">
        <v>631</v>
      </c>
      <c r="H66" s="101" t="s">
        <v>159</v>
      </c>
      <c r="I66" s="101" t="s">
        <v>1014</v>
      </c>
      <c r="J66" s="115" t="s">
        <v>1013</v>
      </c>
      <c r="K66" s="98" t="s">
        <v>1091</v>
      </c>
      <c r="L66" s="98" t="s">
        <v>974</v>
      </c>
      <c r="M66" s="101"/>
      <c r="N66" s="101"/>
      <c r="O66" s="101" t="s">
        <v>972</v>
      </c>
      <c r="P66" s="101"/>
      <c r="Q66" s="101"/>
      <c r="R66" s="101"/>
      <c r="S66" s="101"/>
      <c r="T66" s="101"/>
      <c r="U66" s="98">
        <v>0.84499999999999997</v>
      </c>
      <c r="V66" s="101"/>
      <c r="W66" s="101"/>
      <c r="X66" s="101">
        <f t="shared" ref="X66:X129" si="3">IF(R66&lt;&gt;0,IF(R66&gt;1,R66/100,R66),IF(U66&lt;&gt;0,IF(U66&gt;1,U66/100,U66),""))</f>
        <v>0.84499999999999997</v>
      </c>
      <c r="Y66" s="122">
        <v>178.7</v>
      </c>
      <c r="Z66" s="106" t="str">
        <f t="shared" ref="Z66:Z97" si="4">IF(X66&lt;&gt;"",IF(X66&lt;0.9,"S","F"),"")</f>
        <v>S</v>
      </c>
      <c r="AA66" s="101" t="s">
        <v>1396</v>
      </c>
      <c r="AB66" s="101"/>
      <c r="AC66" s="101"/>
      <c r="AD66" s="174"/>
      <c r="AE66" s="174"/>
      <c r="AF66" s="174"/>
      <c r="AG66" s="174"/>
      <c r="AH66" s="174"/>
      <c r="AI66" s="174"/>
      <c r="AJ66" s="174"/>
      <c r="AK66" s="174"/>
      <c r="AL66" s="174"/>
    </row>
    <row r="67" spans="1:38" s="45" customFormat="1">
      <c r="A67" s="53">
        <v>63</v>
      </c>
      <c r="B67" s="60" t="s">
        <v>168</v>
      </c>
      <c r="C67" s="60">
        <v>1989</v>
      </c>
      <c r="D67" s="60" t="s">
        <v>169</v>
      </c>
      <c r="E67" s="56" t="s">
        <v>172</v>
      </c>
      <c r="F67" s="69">
        <v>32022</v>
      </c>
      <c r="G67" s="54" t="s">
        <v>176</v>
      </c>
      <c r="H67" s="54" t="s">
        <v>95</v>
      </c>
      <c r="I67" s="54" t="s">
        <v>1014</v>
      </c>
      <c r="J67" s="66" t="s">
        <v>1013</v>
      </c>
      <c r="K67" s="54" t="s">
        <v>1042</v>
      </c>
      <c r="L67" s="54" t="s">
        <v>177</v>
      </c>
      <c r="M67" s="54"/>
      <c r="N67" s="54"/>
      <c r="O67" s="54" t="s">
        <v>178</v>
      </c>
      <c r="P67" s="54"/>
      <c r="Q67" s="54"/>
      <c r="R67" s="54"/>
      <c r="S67" s="54"/>
      <c r="T67" s="54"/>
      <c r="U67" s="54"/>
      <c r="V67" s="54"/>
      <c r="W67" s="54"/>
      <c r="X67" s="66" t="str">
        <f t="shared" si="3"/>
        <v/>
      </c>
      <c r="Y67" s="71">
        <v>106</v>
      </c>
      <c r="Z67" s="192" t="str">
        <f t="shared" si="4"/>
        <v/>
      </c>
      <c r="AA67" s="66" t="s">
        <v>1396</v>
      </c>
      <c r="AB67" s="66"/>
      <c r="AC67" s="66"/>
      <c r="AD67" s="172"/>
      <c r="AE67" s="172"/>
      <c r="AF67" s="172"/>
      <c r="AG67" s="172"/>
      <c r="AH67" s="172"/>
      <c r="AI67" s="172"/>
      <c r="AJ67" s="172"/>
      <c r="AK67" s="172"/>
      <c r="AL67" s="172"/>
    </row>
    <row r="68" spans="1:38" s="45" customFormat="1">
      <c r="A68" s="53">
        <v>63</v>
      </c>
      <c r="B68" s="60" t="s">
        <v>168</v>
      </c>
      <c r="C68" s="60">
        <v>1989</v>
      </c>
      <c r="D68" s="60" t="s">
        <v>169</v>
      </c>
      <c r="E68" s="56" t="s">
        <v>172</v>
      </c>
      <c r="F68" s="54" t="s">
        <v>179</v>
      </c>
      <c r="G68" s="54" t="s">
        <v>153</v>
      </c>
      <c r="H68" s="54" t="s">
        <v>95</v>
      </c>
      <c r="I68" s="54" t="s">
        <v>1014</v>
      </c>
      <c r="J68" s="66" t="s">
        <v>1013</v>
      </c>
      <c r="K68" s="54" t="s">
        <v>1042</v>
      </c>
      <c r="L68" s="54" t="s">
        <v>180</v>
      </c>
      <c r="M68" s="54"/>
      <c r="N68" s="54"/>
      <c r="O68" s="54" t="s">
        <v>155</v>
      </c>
      <c r="P68" s="54"/>
      <c r="Q68" s="54"/>
      <c r="R68" s="54"/>
      <c r="S68" s="54"/>
      <c r="T68" s="54"/>
      <c r="U68" s="54"/>
      <c r="V68" s="54"/>
      <c r="W68" s="54"/>
      <c r="X68" s="66" t="str">
        <f t="shared" si="3"/>
        <v/>
      </c>
      <c r="Y68" s="71">
        <v>89</v>
      </c>
      <c r="Z68" s="192" t="str">
        <f t="shared" si="4"/>
        <v/>
      </c>
      <c r="AA68" s="66" t="s">
        <v>1396</v>
      </c>
      <c r="AB68" s="66"/>
      <c r="AC68" s="66"/>
      <c r="AD68" s="172"/>
      <c r="AE68" s="172"/>
      <c r="AF68" s="172"/>
      <c r="AG68" s="172"/>
      <c r="AH68" s="172"/>
      <c r="AI68" s="172"/>
      <c r="AJ68" s="172"/>
      <c r="AK68" s="172"/>
      <c r="AL68" s="172"/>
    </row>
    <row r="69" spans="1:38" s="107" customFormat="1">
      <c r="A69" s="97">
        <v>103</v>
      </c>
      <c r="B69" s="103" t="s">
        <v>311</v>
      </c>
      <c r="C69" s="103">
        <v>1994</v>
      </c>
      <c r="D69" s="103" t="s">
        <v>312</v>
      </c>
      <c r="E69" s="99" t="s">
        <v>20</v>
      </c>
      <c r="F69" s="98">
        <v>1995</v>
      </c>
      <c r="G69" s="98"/>
      <c r="H69" s="98"/>
      <c r="I69" s="98"/>
      <c r="J69" s="98" t="s">
        <v>1013</v>
      </c>
      <c r="K69" s="98" t="s">
        <v>1096</v>
      </c>
      <c r="L69" s="98" t="s">
        <v>315</v>
      </c>
      <c r="M69" s="98" t="s">
        <v>316</v>
      </c>
      <c r="N69" s="98"/>
      <c r="O69" s="98" t="s">
        <v>317</v>
      </c>
      <c r="P69" s="98"/>
      <c r="Q69" s="98"/>
      <c r="R69" s="98"/>
      <c r="S69" s="98"/>
      <c r="T69" s="98"/>
      <c r="U69" s="98"/>
      <c r="V69" s="98"/>
      <c r="W69" s="98"/>
      <c r="X69" s="101" t="str">
        <f t="shared" si="3"/>
        <v/>
      </c>
      <c r="Y69" s="122">
        <v>150</v>
      </c>
      <c r="Z69" s="106" t="str">
        <f t="shared" si="4"/>
        <v/>
      </c>
      <c r="AA69" s="101" t="s">
        <v>1396</v>
      </c>
      <c r="AB69" s="101"/>
      <c r="AC69" s="101"/>
      <c r="AD69" s="174"/>
      <c r="AE69" s="174"/>
      <c r="AF69" s="174"/>
      <c r="AG69" s="174"/>
      <c r="AH69" s="174"/>
      <c r="AI69" s="174"/>
      <c r="AJ69" s="174"/>
      <c r="AK69" s="174"/>
      <c r="AL69" s="174"/>
    </row>
    <row r="70" spans="1:38" s="107" customFormat="1">
      <c r="A70" s="97">
        <v>181</v>
      </c>
      <c r="B70" s="98" t="s">
        <v>766</v>
      </c>
      <c r="C70" s="98">
        <v>2009</v>
      </c>
      <c r="D70" s="112" t="s">
        <v>767</v>
      </c>
      <c r="E70" s="113" t="s">
        <v>49</v>
      </c>
      <c r="F70" s="98"/>
      <c r="G70" s="98" t="s">
        <v>777</v>
      </c>
      <c r="H70" s="115" t="s">
        <v>581</v>
      </c>
      <c r="I70" s="115"/>
      <c r="J70" s="115" t="s">
        <v>1013</v>
      </c>
      <c r="K70" s="115" t="s">
        <v>1096</v>
      </c>
      <c r="L70" s="114" t="s">
        <v>775</v>
      </c>
      <c r="M70" s="114" t="s">
        <v>164</v>
      </c>
      <c r="N70" s="114"/>
      <c r="O70" s="114" t="s">
        <v>868</v>
      </c>
      <c r="P70" s="114"/>
      <c r="Q70" s="114"/>
      <c r="R70" s="98"/>
      <c r="S70" s="98"/>
      <c r="T70" s="98"/>
      <c r="U70" s="129">
        <v>0.94840097300000004</v>
      </c>
      <c r="V70" s="176"/>
      <c r="W70" s="176"/>
      <c r="X70" s="101">
        <f t="shared" si="3"/>
        <v>0.94840097300000004</v>
      </c>
      <c r="Y70" s="117">
        <v>59.429581040000002</v>
      </c>
      <c r="Z70" s="106" t="str">
        <f t="shared" si="4"/>
        <v>F</v>
      </c>
      <c r="AA70" s="101" t="s">
        <v>1396</v>
      </c>
      <c r="AB70" s="101"/>
      <c r="AC70" s="101"/>
      <c r="AD70" s="174"/>
      <c r="AE70" s="174"/>
      <c r="AF70" s="174"/>
      <c r="AG70" s="174"/>
      <c r="AH70" s="174"/>
      <c r="AI70" s="174"/>
      <c r="AJ70" s="174"/>
      <c r="AK70" s="174"/>
      <c r="AL70" s="174"/>
    </row>
    <row r="71" spans="1:38" s="107" customFormat="1">
      <c r="A71" s="97">
        <v>181</v>
      </c>
      <c r="B71" s="98" t="s">
        <v>766</v>
      </c>
      <c r="C71" s="98">
        <v>2009</v>
      </c>
      <c r="D71" s="112" t="s">
        <v>767</v>
      </c>
      <c r="E71" s="113" t="s">
        <v>49</v>
      </c>
      <c r="F71" s="114" t="s">
        <v>814</v>
      </c>
      <c r="G71" s="98" t="s">
        <v>774</v>
      </c>
      <c r="H71" s="115" t="s">
        <v>581</v>
      </c>
      <c r="I71" s="115"/>
      <c r="J71" s="115" t="s">
        <v>1013</v>
      </c>
      <c r="K71" s="115" t="s">
        <v>1096</v>
      </c>
      <c r="L71" s="114" t="s">
        <v>775</v>
      </c>
      <c r="M71" s="114" t="s">
        <v>164</v>
      </c>
      <c r="N71" s="114"/>
      <c r="O71" s="114" t="s">
        <v>815</v>
      </c>
      <c r="P71" s="114"/>
      <c r="Q71" s="114"/>
      <c r="R71" s="98"/>
      <c r="S71" s="98"/>
      <c r="T71" s="98"/>
      <c r="U71" s="129">
        <v>0.93836761499999999</v>
      </c>
      <c r="V71" s="176"/>
      <c r="W71" s="176"/>
      <c r="X71" s="101">
        <f t="shared" si="3"/>
        <v>0.93836761499999999</v>
      </c>
      <c r="Y71" s="117">
        <v>70.120979039999995</v>
      </c>
      <c r="Z71" s="106" t="str">
        <f t="shared" si="4"/>
        <v>F</v>
      </c>
      <c r="AA71" s="101" t="s">
        <v>1396</v>
      </c>
      <c r="AB71" s="101"/>
      <c r="AC71" s="101"/>
      <c r="AD71" s="174"/>
      <c r="AE71" s="174"/>
      <c r="AF71" s="174"/>
      <c r="AG71" s="174"/>
      <c r="AH71" s="174"/>
      <c r="AI71" s="174"/>
      <c r="AJ71" s="174"/>
      <c r="AK71" s="174"/>
      <c r="AL71" s="174"/>
    </row>
    <row r="72" spans="1:38" s="107" customFormat="1">
      <c r="A72" s="97">
        <v>181</v>
      </c>
      <c r="B72" s="98" t="s">
        <v>766</v>
      </c>
      <c r="C72" s="98">
        <v>2009</v>
      </c>
      <c r="D72" s="112" t="s">
        <v>767</v>
      </c>
      <c r="E72" s="113" t="s">
        <v>49</v>
      </c>
      <c r="F72" s="114" t="s">
        <v>773</v>
      </c>
      <c r="G72" s="98" t="s">
        <v>774</v>
      </c>
      <c r="H72" s="115" t="s">
        <v>581</v>
      </c>
      <c r="I72" s="115"/>
      <c r="J72" s="115" t="s">
        <v>1013</v>
      </c>
      <c r="K72" s="115" t="s">
        <v>1096</v>
      </c>
      <c r="L72" s="114" t="s">
        <v>775</v>
      </c>
      <c r="M72" s="114" t="s">
        <v>164</v>
      </c>
      <c r="N72" s="114"/>
      <c r="O72" s="114" t="s">
        <v>826</v>
      </c>
      <c r="P72" s="114"/>
      <c r="Q72" s="114"/>
      <c r="R72" s="98"/>
      <c r="S72" s="98"/>
      <c r="T72" s="98"/>
      <c r="U72" s="129">
        <v>0.93163082699999999</v>
      </c>
      <c r="V72" s="176"/>
      <c r="W72" s="176"/>
      <c r="X72" s="101">
        <f t="shared" si="3"/>
        <v>0.93163082699999999</v>
      </c>
      <c r="Y72" s="117">
        <v>77.895614190000003</v>
      </c>
      <c r="Z72" s="106" t="str">
        <f t="shared" si="4"/>
        <v>F</v>
      </c>
      <c r="AA72" s="101" t="s">
        <v>1396</v>
      </c>
      <c r="AB72" s="101"/>
      <c r="AC72" s="101"/>
      <c r="AD72" s="174"/>
      <c r="AE72" s="174"/>
      <c r="AF72" s="174"/>
      <c r="AG72" s="174"/>
      <c r="AH72" s="174"/>
      <c r="AI72" s="174"/>
      <c r="AJ72" s="174"/>
      <c r="AK72" s="174"/>
      <c r="AL72" s="174"/>
    </row>
    <row r="73" spans="1:38" s="107" customFormat="1">
      <c r="A73" s="97">
        <v>181</v>
      </c>
      <c r="B73" s="98" t="s">
        <v>766</v>
      </c>
      <c r="C73" s="98">
        <v>2009</v>
      </c>
      <c r="D73" s="112" t="s">
        <v>767</v>
      </c>
      <c r="E73" s="113" t="s">
        <v>49</v>
      </c>
      <c r="F73" s="114" t="s">
        <v>806</v>
      </c>
      <c r="G73" s="98" t="s">
        <v>777</v>
      </c>
      <c r="H73" s="115" t="s">
        <v>581</v>
      </c>
      <c r="I73" s="115"/>
      <c r="J73" s="115" t="s">
        <v>1013</v>
      </c>
      <c r="K73" s="115" t="s">
        <v>1096</v>
      </c>
      <c r="L73" s="114" t="s">
        <v>775</v>
      </c>
      <c r="M73" s="114" t="s">
        <v>164</v>
      </c>
      <c r="N73" s="114"/>
      <c r="O73" s="114" t="s">
        <v>807</v>
      </c>
      <c r="P73" s="114"/>
      <c r="Q73" s="114"/>
      <c r="R73" s="98"/>
      <c r="S73" s="98"/>
      <c r="T73" s="98"/>
      <c r="U73" s="129">
        <v>0.92572142999999996</v>
      </c>
      <c r="V73" s="176"/>
      <c r="W73" s="176"/>
      <c r="X73" s="101">
        <f t="shared" si="3"/>
        <v>0.92572142999999996</v>
      </c>
      <c r="Y73" s="117">
        <v>84.234933139999995</v>
      </c>
      <c r="Z73" s="106" t="str">
        <f t="shared" si="4"/>
        <v>F</v>
      </c>
      <c r="AA73" s="101" t="s">
        <v>1396</v>
      </c>
      <c r="AB73" s="101"/>
      <c r="AC73" s="101"/>
      <c r="AD73" s="174"/>
      <c r="AE73" s="174"/>
      <c r="AF73" s="174"/>
      <c r="AG73" s="174"/>
      <c r="AH73" s="174"/>
      <c r="AI73" s="174"/>
      <c r="AJ73" s="174"/>
      <c r="AK73" s="174"/>
      <c r="AL73" s="174"/>
    </row>
    <row r="74" spans="1:38" s="107" customFormat="1">
      <c r="A74" s="97">
        <v>181</v>
      </c>
      <c r="B74" s="98" t="s">
        <v>766</v>
      </c>
      <c r="C74" s="98">
        <v>2009</v>
      </c>
      <c r="D74" s="112" t="s">
        <v>767</v>
      </c>
      <c r="E74" s="113" t="s">
        <v>49</v>
      </c>
      <c r="F74" s="114" t="s">
        <v>773</v>
      </c>
      <c r="G74" s="98" t="s">
        <v>832</v>
      </c>
      <c r="H74" s="115" t="s">
        <v>581</v>
      </c>
      <c r="I74" s="115"/>
      <c r="J74" s="115" t="s">
        <v>1013</v>
      </c>
      <c r="K74" s="115" t="s">
        <v>1096</v>
      </c>
      <c r="L74" s="114" t="s">
        <v>775</v>
      </c>
      <c r="M74" s="114" t="s">
        <v>164</v>
      </c>
      <c r="N74" s="114"/>
      <c r="O74" s="114" t="s">
        <v>833</v>
      </c>
      <c r="P74" s="114"/>
      <c r="Q74" s="114"/>
      <c r="R74" s="98"/>
      <c r="S74" s="98"/>
      <c r="T74" s="98"/>
      <c r="U74" s="129">
        <v>0.92401837899999995</v>
      </c>
      <c r="V74" s="176"/>
      <c r="W74" s="176"/>
      <c r="X74" s="101">
        <f t="shared" si="3"/>
        <v>0.92401837899999995</v>
      </c>
      <c r="Y74" s="117">
        <v>86.757514450000002</v>
      </c>
      <c r="Z74" s="106" t="str">
        <f t="shared" si="4"/>
        <v>F</v>
      </c>
      <c r="AA74" s="101" t="s">
        <v>1396</v>
      </c>
      <c r="AB74" s="101"/>
      <c r="AC74" s="101"/>
      <c r="AD74" s="174"/>
      <c r="AE74" s="174"/>
      <c r="AF74" s="174"/>
      <c r="AG74" s="174"/>
      <c r="AH74" s="174"/>
      <c r="AI74" s="174"/>
      <c r="AJ74" s="174"/>
      <c r="AK74" s="174"/>
      <c r="AL74" s="174"/>
    </row>
    <row r="75" spans="1:38" s="107" customFormat="1">
      <c r="A75" s="97">
        <v>181</v>
      </c>
      <c r="B75" s="98" t="s">
        <v>766</v>
      </c>
      <c r="C75" s="98">
        <v>2009</v>
      </c>
      <c r="D75" s="112" t="s">
        <v>767</v>
      </c>
      <c r="E75" s="113" t="s">
        <v>49</v>
      </c>
      <c r="F75" s="114" t="s">
        <v>820</v>
      </c>
      <c r="G75" s="98" t="s">
        <v>821</v>
      </c>
      <c r="H75" s="115" t="s">
        <v>581</v>
      </c>
      <c r="I75" s="115"/>
      <c r="J75" s="115" t="s">
        <v>1013</v>
      </c>
      <c r="K75" s="115" t="s">
        <v>1096</v>
      </c>
      <c r="L75" s="114" t="s">
        <v>775</v>
      </c>
      <c r="M75" s="114" t="s">
        <v>164</v>
      </c>
      <c r="N75" s="114"/>
      <c r="O75" s="114" t="s">
        <v>822</v>
      </c>
      <c r="P75" s="114"/>
      <c r="Q75" s="114"/>
      <c r="R75" s="98"/>
      <c r="S75" s="98"/>
      <c r="T75" s="98"/>
      <c r="U75" s="129">
        <v>0.92372757000000005</v>
      </c>
      <c r="V75" s="176"/>
      <c r="W75" s="176"/>
      <c r="X75" s="101">
        <f t="shared" si="3"/>
        <v>0.92372757000000005</v>
      </c>
      <c r="Y75" s="117">
        <v>86.610838169999994</v>
      </c>
      <c r="Z75" s="106" t="str">
        <f t="shared" si="4"/>
        <v>F</v>
      </c>
      <c r="AA75" s="101" t="s">
        <v>1396</v>
      </c>
      <c r="AB75" s="101"/>
      <c r="AC75" s="101"/>
      <c r="AD75" s="174"/>
      <c r="AE75" s="174"/>
      <c r="AF75" s="174"/>
      <c r="AG75" s="174"/>
      <c r="AH75" s="174"/>
      <c r="AI75" s="174"/>
      <c r="AJ75" s="174"/>
      <c r="AK75" s="174"/>
      <c r="AL75" s="174"/>
    </row>
    <row r="76" spans="1:38" s="107" customFormat="1">
      <c r="A76" s="97">
        <v>174</v>
      </c>
      <c r="B76" s="98" t="s">
        <v>697</v>
      </c>
      <c r="C76" s="98">
        <v>2009</v>
      </c>
      <c r="D76" s="108" t="s">
        <v>698</v>
      </c>
      <c r="E76" s="99" t="s">
        <v>20</v>
      </c>
      <c r="F76" s="100" t="s">
        <v>701</v>
      </c>
      <c r="G76" s="98" t="s">
        <v>705</v>
      </c>
      <c r="H76" s="98" t="s">
        <v>159</v>
      </c>
      <c r="I76" s="98"/>
      <c r="J76" s="101" t="s">
        <v>1013</v>
      </c>
      <c r="K76" s="98" t="s">
        <v>1096</v>
      </c>
      <c r="L76" s="98" t="s">
        <v>715</v>
      </c>
      <c r="M76" s="109"/>
      <c r="N76" s="109"/>
      <c r="O76" s="98" t="s">
        <v>715</v>
      </c>
      <c r="P76" s="103"/>
      <c r="Q76" s="103"/>
      <c r="R76" s="98"/>
      <c r="S76" s="98"/>
      <c r="T76" s="98"/>
      <c r="U76" s="104">
        <v>0.92</v>
      </c>
      <c r="V76" s="104"/>
      <c r="W76" s="104"/>
      <c r="X76" s="101">
        <f t="shared" si="3"/>
        <v>0.92</v>
      </c>
      <c r="Y76" s="122">
        <v>88.4</v>
      </c>
      <c r="Z76" s="106" t="str">
        <f t="shared" si="4"/>
        <v>F</v>
      </c>
      <c r="AA76" s="101" t="s">
        <v>1396</v>
      </c>
      <c r="AB76" s="101"/>
      <c r="AC76" s="101"/>
      <c r="AD76" s="174"/>
      <c r="AE76" s="174"/>
      <c r="AF76" s="174"/>
      <c r="AG76" s="174"/>
      <c r="AH76" s="174"/>
      <c r="AI76" s="174"/>
      <c r="AJ76" s="174"/>
      <c r="AK76" s="174"/>
      <c r="AL76" s="174"/>
    </row>
    <row r="77" spans="1:38" s="107" customFormat="1">
      <c r="A77" s="97">
        <v>181</v>
      </c>
      <c r="B77" s="98" t="s">
        <v>766</v>
      </c>
      <c r="C77" s="98">
        <v>2009</v>
      </c>
      <c r="D77" s="112" t="s">
        <v>767</v>
      </c>
      <c r="E77" s="113" t="s">
        <v>49</v>
      </c>
      <c r="F77" s="114" t="s">
        <v>806</v>
      </c>
      <c r="G77" s="98" t="s">
        <v>821</v>
      </c>
      <c r="H77" s="115" t="s">
        <v>581</v>
      </c>
      <c r="I77" s="115"/>
      <c r="J77" s="115" t="s">
        <v>1013</v>
      </c>
      <c r="K77" s="115" t="s">
        <v>1096</v>
      </c>
      <c r="L77" s="114" t="s">
        <v>775</v>
      </c>
      <c r="M77" s="114" t="s">
        <v>164</v>
      </c>
      <c r="N77" s="114"/>
      <c r="O77" s="114" t="s">
        <v>823</v>
      </c>
      <c r="P77" s="114"/>
      <c r="Q77" s="114"/>
      <c r="R77" s="98"/>
      <c r="S77" s="98"/>
      <c r="T77" s="98"/>
      <c r="U77" s="129">
        <v>0.91865929800000001</v>
      </c>
      <c r="V77" s="176"/>
      <c r="W77" s="176"/>
      <c r="X77" s="101">
        <f t="shared" si="3"/>
        <v>0.91865929800000001</v>
      </c>
      <c r="Y77" s="117">
        <v>92.346491639999996</v>
      </c>
      <c r="Z77" s="106" t="str">
        <f t="shared" si="4"/>
        <v>F</v>
      </c>
      <c r="AA77" s="101" t="s">
        <v>1396</v>
      </c>
      <c r="AB77" s="101"/>
      <c r="AC77" s="101"/>
      <c r="AD77" s="174"/>
      <c r="AE77" s="174"/>
      <c r="AF77" s="174"/>
      <c r="AG77" s="174"/>
      <c r="AH77" s="174"/>
      <c r="AI77" s="174"/>
      <c r="AJ77" s="174"/>
      <c r="AK77" s="174"/>
      <c r="AL77" s="174"/>
    </row>
    <row r="78" spans="1:38" s="107" customFormat="1">
      <c r="A78" s="97">
        <v>181</v>
      </c>
      <c r="B78" s="98" t="s">
        <v>766</v>
      </c>
      <c r="C78" s="98">
        <v>2009</v>
      </c>
      <c r="D78" s="112" t="s">
        <v>767</v>
      </c>
      <c r="E78" s="113" t="s">
        <v>49</v>
      </c>
      <c r="F78" s="114" t="s">
        <v>780</v>
      </c>
      <c r="G78" s="98" t="s">
        <v>786</v>
      </c>
      <c r="H78" s="115" t="s">
        <v>159</v>
      </c>
      <c r="I78" s="115"/>
      <c r="J78" s="115" t="s">
        <v>1013</v>
      </c>
      <c r="K78" s="115" t="s">
        <v>1096</v>
      </c>
      <c r="L78" s="114" t="s">
        <v>782</v>
      </c>
      <c r="M78" s="114" t="s">
        <v>164</v>
      </c>
      <c r="N78" s="114"/>
      <c r="O78" s="114" t="s">
        <v>840</v>
      </c>
      <c r="P78" s="114"/>
      <c r="Q78" s="114"/>
      <c r="R78" s="98"/>
      <c r="S78" s="98"/>
      <c r="T78" s="98"/>
      <c r="U78" s="129">
        <v>0.91831407899999995</v>
      </c>
      <c r="V78" s="176"/>
      <c r="W78" s="176"/>
      <c r="X78" s="101">
        <f t="shared" si="3"/>
        <v>0.91831407899999995</v>
      </c>
      <c r="Y78" s="117">
        <v>92.851658520000001</v>
      </c>
      <c r="Z78" s="106" t="str">
        <f t="shared" si="4"/>
        <v>F</v>
      </c>
      <c r="AA78" s="101" t="s">
        <v>1396</v>
      </c>
      <c r="AB78" s="101"/>
      <c r="AC78" s="101"/>
      <c r="AD78" s="174"/>
      <c r="AE78" s="174"/>
      <c r="AF78" s="174"/>
      <c r="AG78" s="174"/>
      <c r="AH78" s="174"/>
      <c r="AI78" s="174"/>
      <c r="AJ78" s="174"/>
      <c r="AK78" s="174"/>
      <c r="AL78" s="174"/>
    </row>
    <row r="79" spans="1:38" s="107" customFormat="1">
      <c r="A79" s="97">
        <v>181</v>
      </c>
      <c r="B79" s="98" t="s">
        <v>766</v>
      </c>
      <c r="C79" s="98">
        <v>2009</v>
      </c>
      <c r="D79" s="112" t="s">
        <v>767</v>
      </c>
      <c r="E79" s="113" t="s">
        <v>49</v>
      </c>
      <c r="F79" s="114" t="s">
        <v>806</v>
      </c>
      <c r="G79" s="98" t="s">
        <v>777</v>
      </c>
      <c r="H79" s="115" t="s">
        <v>581</v>
      </c>
      <c r="I79" s="115"/>
      <c r="J79" s="115" t="s">
        <v>1013</v>
      </c>
      <c r="K79" s="115" t="s">
        <v>1096</v>
      </c>
      <c r="L79" s="114" t="s">
        <v>775</v>
      </c>
      <c r="M79" s="114" t="s">
        <v>164</v>
      </c>
      <c r="N79" s="114"/>
      <c r="O79" s="114" t="s">
        <v>828</v>
      </c>
      <c r="P79" s="114"/>
      <c r="Q79" s="114"/>
      <c r="R79" s="98"/>
      <c r="S79" s="98"/>
      <c r="T79" s="98"/>
      <c r="U79" s="129">
        <v>0.91809654699999999</v>
      </c>
      <c r="V79" s="176"/>
      <c r="W79" s="176"/>
      <c r="X79" s="101">
        <f t="shared" si="3"/>
        <v>0.91809654699999999</v>
      </c>
      <c r="Y79" s="117">
        <v>93.098951159999999</v>
      </c>
      <c r="Z79" s="106" t="str">
        <f t="shared" si="4"/>
        <v>F</v>
      </c>
      <c r="AA79" s="101" t="s">
        <v>1396</v>
      </c>
      <c r="AB79" s="101"/>
      <c r="AC79" s="101"/>
      <c r="AD79" s="174"/>
      <c r="AE79" s="174"/>
      <c r="AF79" s="174"/>
      <c r="AG79" s="174"/>
      <c r="AH79" s="174"/>
      <c r="AI79" s="174"/>
      <c r="AJ79" s="174"/>
      <c r="AK79" s="174"/>
      <c r="AL79" s="174"/>
    </row>
    <row r="80" spans="1:38" s="107" customFormat="1">
      <c r="A80" s="97">
        <v>181</v>
      </c>
      <c r="B80" s="98" t="s">
        <v>766</v>
      </c>
      <c r="C80" s="98">
        <v>2009</v>
      </c>
      <c r="D80" s="112" t="s">
        <v>767</v>
      </c>
      <c r="E80" s="112" t="s">
        <v>49</v>
      </c>
      <c r="F80" s="119"/>
      <c r="G80" s="98" t="s">
        <v>777</v>
      </c>
      <c r="H80" s="108" t="s">
        <v>581</v>
      </c>
      <c r="I80" s="108"/>
      <c r="J80" s="115" t="s">
        <v>1013</v>
      </c>
      <c r="K80" s="115" t="s">
        <v>1096</v>
      </c>
      <c r="L80" s="119" t="s">
        <v>775</v>
      </c>
      <c r="M80" s="119" t="s">
        <v>164</v>
      </c>
      <c r="N80" s="119"/>
      <c r="O80" s="119" t="s">
        <v>779</v>
      </c>
      <c r="P80" s="119"/>
      <c r="Q80" s="119"/>
      <c r="R80" s="98"/>
      <c r="S80" s="98"/>
      <c r="T80" s="98"/>
      <c r="U80" s="130">
        <v>0.91637743400000005</v>
      </c>
      <c r="V80" s="177"/>
      <c r="W80" s="177"/>
      <c r="X80" s="101">
        <f t="shared" si="3"/>
        <v>0.91637743400000005</v>
      </c>
      <c r="Y80" s="121">
        <v>94.206533280000002</v>
      </c>
      <c r="Z80" s="106" t="str">
        <f t="shared" si="4"/>
        <v>F</v>
      </c>
      <c r="AA80" s="101" t="s">
        <v>1396</v>
      </c>
      <c r="AB80" s="101"/>
      <c r="AC80" s="101"/>
      <c r="AD80" s="174"/>
      <c r="AE80" s="174"/>
      <c r="AF80" s="174"/>
      <c r="AG80" s="174"/>
      <c r="AH80" s="174"/>
      <c r="AI80" s="174"/>
      <c r="AJ80" s="174"/>
      <c r="AK80" s="174"/>
      <c r="AL80" s="174"/>
    </row>
    <row r="81" spans="1:38" s="107" customFormat="1">
      <c r="A81" s="97">
        <v>181</v>
      </c>
      <c r="B81" s="98" t="s">
        <v>766</v>
      </c>
      <c r="C81" s="98">
        <v>2009</v>
      </c>
      <c r="D81" s="112" t="s">
        <v>767</v>
      </c>
      <c r="E81" s="113" t="s">
        <v>49</v>
      </c>
      <c r="F81" s="114"/>
      <c r="G81" s="98" t="s">
        <v>777</v>
      </c>
      <c r="H81" s="115" t="s">
        <v>581</v>
      </c>
      <c r="I81" s="115"/>
      <c r="J81" s="115" t="s">
        <v>1013</v>
      </c>
      <c r="K81" s="115" t="s">
        <v>1096</v>
      </c>
      <c r="L81" s="114" t="s">
        <v>775</v>
      </c>
      <c r="M81" s="114" t="s">
        <v>164</v>
      </c>
      <c r="N81" s="114"/>
      <c r="O81" s="114" t="s">
        <v>779</v>
      </c>
      <c r="P81" s="114"/>
      <c r="Q81" s="114"/>
      <c r="R81" s="98"/>
      <c r="S81" s="98"/>
      <c r="T81" s="98"/>
      <c r="U81" s="129">
        <v>0.91637743400000005</v>
      </c>
      <c r="V81" s="176"/>
      <c r="W81" s="176"/>
      <c r="X81" s="101">
        <f t="shared" si="3"/>
        <v>0.91637743400000005</v>
      </c>
      <c r="Y81" s="117">
        <v>94.206533280000002</v>
      </c>
      <c r="Z81" s="106" t="str">
        <f t="shared" si="4"/>
        <v>F</v>
      </c>
      <c r="AA81" s="101" t="s">
        <v>1396</v>
      </c>
      <c r="AB81" s="101"/>
      <c r="AC81" s="101"/>
      <c r="AD81" s="174"/>
      <c r="AE81" s="174"/>
      <c r="AF81" s="174"/>
      <c r="AG81" s="174"/>
      <c r="AH81" s="174"/>
      <c r="AI81" s="174"/>
      <c r="AJ81" s="174"/>
      <c r="AK81" s="174"/>
      <c r="AL81" s="174"/>
    </row>
    <row r="82" spans="1:38" s="107" customFormat="1">
      <c r="A82" s="97">
        <v>181</v>
      </c>
      <c r="B82" s="98" t="s">
        <v>766</v>
      </c>
      <c r="C82" s="98">
        <v>2009</v>
      </c>
      <c r="D82" s="112" t="s">
        <v>767</v>
      </c>
      <c r="E82" s="113" t="s">
        <v>49</v>
      </c>
      <c r="F82" s="114" t="s">
        <v>780</v>
      </c>
      <c r="G82" s="98" t="s">
        <v>781</v>
      </c>
      <c r="H82" s="115" t="s">
        <v>95</v>
      </c>
      <c r="I82" s="115"/>
      <c r="J82" s="108" t="s">
        <v>1013</v>
      </c>
      <c r="K82" s="108" t="s">
        <v>1096</v>
      </c>
      <c r="L82" s="114" t="s">
        <v>782</v>
      </c>
      <c r="M82" s="114" t="s">
        <v>783</v>
      </c>
      <c r="N82" s="114" t="s">
        <v>784</v>
      </c>
      <c r="O82" s="114" t="s">
        <v>803</v>
      </c>
      <c r="P82" s="114"/>
      <c r="Q82" s="114"/>
      <c r="R82" s="98"/>
      <c r="S82" s="98"/>
      <c r="T82" s="98"/>
      <c r="U82" s="129">
        <v>0.91620070099999995</v>
      </c>
      <c r="V82" s="176"/>
      <c r="W82" s="176"/>
      <c r="X82" s="101">
        <f t="shared" si="3"/>
        <v>0.91620070099999995</v>
      </c>
      <c r="Y82" s="117">
        <v>93.7</v>
      </c>
      <c r="Z82" s="106" t="str">
        <f t="shared" si="4"/>
        <v>F</v>
      </c>
      <c r="AA82" s="101" t="s">
        <v>1396</v>
      </c>
      <c r="AB82" s="101"/>
      <c r="AC82" s="101"/>
      <c r="AD82" s="174"/>
      <c r="AE82" s="174"/>
      <c r="AF82" s="174"/>
      <c r="AG82" s="174"/>
      <c r="AH82" s="174"/>
      <c r="AI82" s="174"/>
      <c r="AJ82" s="174"/>
      <c r="AK82" s="174"/>
      <c r="AL82" s="174"/>
    </row>
    <row r="83" spans="1:38" s="107" customFormat="1">
      <c r="A83" s="97">
        <v>181</v>
      </c>
      <c r="B83" s="98" t="s">
        <v>766</v>
      </c>
      <c r="C83" s="98">
        <v>2009</v>
      </c>
      <c r="D83" s="112" t="s">
        <v>767</v>
      </c>
      <c r="E83" s="113" t="s">
        <v>49</v>
      </c>
      <c r="F83" s="114" t="s">
        <v>829</v>
      </c>
      <c r="G83" s="98" t="s">
        <v>786</v>
      </c>
      <c r="H83" s="115" t="s">
        <v>159</v>
      </c>
      <c r="I83" s="115"/>
      <c r="J83" s="115" t="s">
        <v>1013</v>
      </c>
      <c r="K83" s="115" t="s">
        <v>1096</v>
      </c>
      <c r="L83" s="114" t="s">
        <v>782</v>
      </c>
      <c r="M83" s="114" t="s">
        <v>164</v>
      </c>
      <c r="N83" s="114"/>
      <c r="O83" s="114" t="s">
        <v>830</v>
      </c>
      <c r="P83" s="114"/>
      <c r="Q83" s="114"/>
      <c r="R83" s="98"/>
      <c r="S83" s="98"/>
      <c r="T83" s="98"/>
      <c r="U83" s="129">
        <v>0.91426053399999996</v>
      </c>
      <c r="V83" s="176"/>
      <c r="W83" s="176"/>
      <c r="X83" s="101">
        <f t="shared" si="3"/>
        <v>0.91426053399999996</v>
      </c>
      <c r="Y83" s="117">
        <v>97.413594239999995</v>
      </c>
      <c r="Z83" s="106" t="str">
        <f t="shared" si="4"/>
        <v>F</v>
      </c>
      <c r="AA83" s="101" t="s">
        <v>1396</v>
      </c>
      <c r="AB83" s="101"/>
      <c r="AC83" s="101"/>
      <c r="AD83" s="174"/>
      <c r="AE83" s="174"/>
      <c r="AF83" s="174"/>
      <c r="AG83" s="174"/>
      <c r="AH83" s="174"/>
      <c r="AI83" s="174"/>
      <c r="AJ83" s="174"/>
      <c r="AK83" s="174"/>
      <c r="AL83" s="174"/>
    </row>
    <row r="84" spans="1:38" s="107" customFormat="1">
      <c r="A84" s="97">
        <v>181</v>
      </c>
      <c r="B84" s="98" t="s">
        <v>766</v>
      </c>
      <c r="C84" s="98">
        <v>2009</v>
      </c>
      <c r="D84" s="112" t="s">
        <v>767</v>
      </c>
      <c r="E84" s="113" t="s">
        <v>49</v>
      </c>
      <c r="F84" s="114" t="s">
        <v>773</v>
      </c>
      <c r="G84" s="98" t="s">
        <v>777</v>
      </c>
      <c r="H84" s="115" t="s">
        <v>581</v>
      </c>
      <c r="I84" s="115"/>
      <c r="J84" s="115" t="s">
        <v>1013</v>
      </c>
      <c r="K84" s="115" t="s">
        <v>1096</v>
      </c>
      <c r="L84" s="114" t="s">
        <v>775</v>
      </c>
      <c r="M84" s="114" t="s">
        <v>164</v>
      </c>
      <c r="N84" s="114"/>
      <c r="O84" s="114" t="s">
        <v>778</v>
      </c>
      <c r="P84" s="114"/>
      <c r="Q84" s="114"/>
      <c r="R84" s="98"/>
      <c r="S84" s="98"/>
      <c r="T84" s="98"/>
      <c r="U84" s="129">
        <v>0.91048192400000005</v>
      </c>
      <c r="V84" s="176"/>
      <c r="W84" s="176"/>
      <c r="X84" s="101">
        <f t="shared" si="3"/>
        <v>0.91048192400000005</v>
      </c>
      <c r="Y84" s="117">
        <v>100.57266989999999</v>
      </c>
      <c r="Z84" s="106" t="str">
        <f t="shared" si="4"/>
        <v>F</v>
      </c>
      <c r="AA84" s="101" t="s">
        <v>1396</v>
      </c>
      <c r="AB84" s="101"/>
      <c r="AC84" s="101"/>
      <c r="AD84" s="174"/>
      <c r="AE84" s="174"/>
      <c r="AF84" s="174"/>
      <c r="AG84" s="174"/>
      <c r="AH84" s="174"/>
      <c r="AI84" s="174"/>
      <c r="AJ84" s="174"/>
      <c r="AK84" s="174"/>
      <c r="AL84" s="174"/>
    </row>
    <row r="85" spans="1:38" s="107" customFormat="1">
      <c r="A85" s="97">
        <v>203</v>
      </c>
      <c r="B85" s="123" t="s">
        <v>940</v>
      </c>
      <c r="C85" s="98">
        <v>2011</v>
      </c>
      <c r="D85" s="123" t="s">
        <v>941</v>
      </c>
      <c r="E85" s="99" t="s">
        <v>20</v>
      </c>
      <c r="F85" s="98">
        <v>2009</v>
      </c>
      <c r="G85" s="98" t="s">
        <v>326</v>
      </c>
      <c r="H85" s="98"/>
      <c r="I85" s="98"/>
      <c r="J85" s="101" t="s">
        <v>1013</v>
      </c>
      <c r="K85" s="98" t="s">
        <v>1096</v>
      </c>
      <c r="L85" s="98" t="s">
        <v>715</v>
      </c>
      <c r="M85" s="98"/>
      <c r="N85" s="98"/>
      <c r="O85" s="98">
        <v>57</v>
      </c>
      <c r="P85" s="98"/>
      <c r="Q85" s="98"/>
      <c r="R85" s="98"/>
      <c r="S85" s="98"/>
      <c r="T85" s="98"/>
      <c r="U85" s="98">
        <v>0.91</v>
      </c>
      <c r="V85" s="98"/>
      <c r="W85" s="98"/>
      <c r="X85" s="101">
        <f t="shared" si="3"/>
        <v>0.91</v>
      </c>
      <c r="Y85" s="122">
        <v>96.9</v>
      </c>
      <c r="Z85" s="106" t="str">
        <f t="shared" si="4"/>
        <v>F</v>
      </c>
      <c r="AA85" s="101" t="s">
        <v>1396</v>
      </c>
      <c r="AB85" s="101"/>
      <c r="AC85" s="101"/>
      <c r="AD85" s="174"/>
      <c r="AE85" s="174"/>
      <c r="AF85" s="174"/>
      <c r="AG85" s="174"/>
      <c r="AH85" s="174"/>
      <c r="AI85" s="174"/>
      <c r="AJ85" s="174"/>
      <c r="AK85" s="174"/>
      <c r="AL85" s="174"/>
    </row>
    <row r="86" spans="1:38" s="107" customFormat="1">
      <c r="A86" s="97">
        <v>181</v>
      </c>
      <c r="B86" s="98" t="s">
        <v>766</v>
      </c>
      <c r="C86" s="98">
        <v>2009</v>
      </c>
      <c r="D86" s="112" t="s">
        <v>767</v>
      </c>
      <c r="E86" s="112" t="s">
        <v>49</v>
      </c>
      <c r="F86" s="119" t="s">
        <v>780</v>
      </c>
      <c r="G86" s="98" t="s">
        <v>786</v>
      </c>
      <c r="H86" s="108" t="s">
        <v>159</v>
      </c>
      <c r="I86" s="108"/>
      <c r="J86" s="115" t="s">
        <v>1013</v>
      </c>
      <c r="K86" s="115" t="s">
        <v>1096</v>
      </c>
      <c r="L86" s="119" t="s">
        <v>782</v>
      </c>
      <c r="M86" s="119" t="s">
        <v>164</v>
      </c>
      <c r="N86" s="119"/>
      <c r="O86" s="119" t="s">
        <v>787</v>
      </c>
      <c r="P86" s="119"/>
      <c r="Q86" s="119"/>
      <c r="R86" s="98"/>
      <c r="S86" s="98"/>
      <c r="T86" s="98"/>
      <c r="U86" s="130">
        <v>0.90993638700000001</v>
      </c>
      <c r="V86" s="177"/>
      <c r="W86" s="177"/>
      <c r="X86" s="101">
        <f t="shared" si="3"/>
        <v>0.90993638700000001</v>
      </c>
      <c r="Y86" s="121">
        <v>101.3779491</v>
      </c>
      <c r="Z86" s="106" t="str">
        <f t="shared" si="4"/>
        <v>F</v>
      </c>
      <c r="AA86" s="101" t="s">
        <v>1396</v>
      </c>
      <c r="AB86" s="101"/>
      <c r="AC86" s="101"/>
      <c r="AD86" s="174"/>
      <c r="AE86" s="174"/>
      <c r="AF86" s="174"/>
      <c r="AG86" s="174"/>
      <c r="AH86" s="174"/>
      <c r="AI86" s="174"/>
      <c r="AJ86" s="174"/>
      <c r="AK86" s="174"/>
      <c r="AL86" s="174"/>
    </row>
    <row r="87" spans="1:38" s="107" customFormat="1">
      <c r="A87" s="97">
        <v>181</v>
      </c>
      <c r="B87" s="98" t="s">
        <v>766</v>
      </c>
      <c r="C87" s="98">
        <v>2009</v>
      </c>
      <c r="D87" s="112" t="s">
        <v>767</v>
      </c>
      <c r="E87" s="112" t="s">
        <v>49</v>
      </c>
      <c r="F87" s="119" t="s">
        <v>780</v>
      </c>
      <c r="G87" s="98" t="s">
        <v>781</v>
      </c>
      <c r="H87" s="108" t="s">
        <v>95</v>
      </c>
      <c r="I87" s="108"/>
      <c r="J87" s="108" t="s">
        <v>1013</v>
      </c>
      <c r="K87" s="108" t="s">
        <v>1096</v>
      </c>
      <c r="L87" s="119" t="s">
        <v>782</v>
      </c>
      <c r="M87" s="119" t="s">
        <v>783</v>
      </c>
      <c r="N87" s="119" t="s">
        <v>784</v>
      </c>
      <c r="O87" s="119" t="s">
        <v>785</v>
      </c>
      <c r="P87" s="119"/>
      <c r="Q87" s="119"/>
      <c r="R87" s="98"/>
      <c r="S87" s="98"/>
      <c r="T87" s="98"/>
      <c r="U87" s="130">
        <v>0.90572357999999997</v>
      </c>
      <c r="V87" s="177"/>
      <c r="W87" s="177"/>
      <c r="X87" s="101">
        <f t="shared" si="3"/>
        <v>0.90572357999999997</v>
      </c>
      <c r="Y87" s="121">
        <v>106.0421372</v>
      </c>
      <c r="Z87" s="106" t="str">
        <f t="shared" si="4"/>
        <v>F</v>
      </c>
      <c r="AA87" s="101" t="s">
        <v>1396</v>
      </c>
      <c r="AB87" s="101"/>
      <c r="AC87" s="101"/>
      <c r="AD87" s="174"/>
      <c r="AE87" s="174"/>
      <c r="AF87" s="174"/>
      <c r="AG87" s="174"/>
      <c r="AH87" s="174"/>
      <c r="AI87" s="174"/>
      <c r="AJ87" s="174"/>
      <c r="AK87" s="174"/>
      <c r="AL87" s="174"/>
    </row>
    <row r="88" spans="1:38" s="107" customFormat="1">
      <c r="A88" s="97">
        <v>181</v>
      </c>
      <c r="B88" s="98" t="s">
        <v>766</v>
      </c>
      <c r="C88" s="98">
        <v>2009</v>
      </c>
      <c r="D88" s="112" t="s">
        <v>767</v>
      </c>
      <c r="E88" s="113" t="s">
        <v>49</v>
      </c>
      <c r="F88" s="114" t="s">
        <v>780</v>
      </c>
      <c r="G88" s="98" t="s">
        <v>786</v>
      </c>
      <c r="H88" s="115" t="s">
        <v>159</v>
      </c>
      <c r="I88" s="115"/>
      <c r="J88" s="115" t="s">
        <v>1013</v>
      </c>
      <c r="K88" s="115" t="s">
        <v>1096</v>
      </c>
      <c r="L88" s="114" t="s">
        <v>782</v>
      </c>
      <c r="M88" s="114" t="s">
        <v>164</v>
      </c>
      <c r="N88" s="114"/>
      <c r="O88" s="114" t="s">
        <v>813</v>
      </c>
      <c r="P88" s="114"/>
      <c r="Q88" s="114"/>
      <c r="R88" s="98"/>
      <c r="S88" s="98"/>
      <c r="T88" s="98"/>
      <c r="U88" s="129">
        <v>0.90398989900000004</v>
      </c>
      <c r="V88" s="176"/>
      <c r="W88" s="176"/>
      <c r="X88" s="101">
        <f t="shared" si="3"/>
        <v>0.90398989900000004</v>
      </c>
      <c r="Y88" s="117">
        <v>107.0830895</v>
      </c>
      <c r="Z88" s="106" t="str">
        <f t="shared" si="4"/>
        <v>F</v>
      </c>
      <c r="AA88" s="101" t="s">
        <v>1396</v>
      </c>
      <c r="AB88" s="101"/>
      <c r="AC88" s="101"/>
      <c r="AD88" s="174"/>
      <c r="AE88" s="174"/>
      <c r="AF88" s="174"/>
      <c r="AG88" s="174"/>
      <c r="AH88" s="174"/>
      <c r="AI88" s="174"/>
      <c r="AJ88" s="174"/>
      <c r="AK88" s="174"/>
      <c r="AL88" s="174"/>
    </row>
    <row r="89" spans="1:38" s="107" customFormat="1">
      <c r="A89" s="97">
        <v>181</v>
      </c>
      <c r="B89" s="98" t="s">
        <v>766</v>
      </c>
      <c r="C89" s="98">
        <v>2009</v>
      </c>
      <c r="D89" s="112" t="s">
        <v>767</v>
      </c>
      <c r="E89" s="113" t="s">
        <v>49</v>
      </c>
      <c r="F89" s="114" t="s">
        <v>780</v>
      </c>
      <c r="G89" s="98" t="s">
        <v>781</v>
      </c>
      <c r="H89" s="115" t="s">
        <v>95</v>
      </c>
      <c r="I89" s="115"/>
      <c r="J89" s="108" t="s">
        <v>1013</v>
      </c>
      <c r="K89" s="108" t="s">
        <v>1096</v>
      </c>
      <c r="L89" s="114" t="s">
        <v>782</v>
      </c>
      <c r="M89" s="114" t="s">
        <v>783</v>
      </c>
      <c r="N89" s="114" t="s">
        <v>784</v>
      </c>
      <c r="O89" s="114" t="s">
        <v>816</v>
      </c>
      <c r="P89" s="114"/>
      <c r="Q89" s="114"/>
      <c r="R89" s="98"/>
      <c r="S89" s="98"/>
      <c r="T89" s="98"/>
      <c r="U89" s="129">
        <v>0.89980392300000001</v>
      </c>
      <c r="V89" s="176"/>
      <c r="W89" s="176"/>
      <c r="X89" s="101">
        <f t="shared" si="3"/>
        <v>0.89980392300000001</v>
      </c>
      <c r="Y89" s="117">
        <v>113.6</v>
      </c>
      <c r="Z89" s="106" t="str">
        <f t="shared" si="4"/>
        <v>S</v>
      </c>
      <c r="AA89" s="101" t="s">
        <v>1396</v>
      </c>
      <c r="AB89" s="101"/>
      <c r="AC89" s="101"/>
      <c r="AD89" s="174"/>
      <c r="AE89" s="174"/>
      <c r="AF89" s="174"/>
      <c r="AG89" s="174"/>
      <c r="AH89" s="174"/>
      <c r="AI89" s="174"/>
      <c r="AJ89" s="174"/>
      <c r="AK89" s="174"/>
      <c r="AL89" s="174"/>
    </row>
    <row r="90" spans="1:38" s="107" customFormat="1">
      <c r="A90" s="97">
        <v>181</v>
      </c>
      <c r="B90" s="98" t="s">
        <v>766</v>
      </c>
      <c r="C90" s="98">
        <v>2009</v>
      </c>
      <c r="D90" s="112" t="s">
        <v>767</v>
      </c>
      <c r="E90" s="113" t="s">
        <v>49</v>
      </c>
      <c r="F90" s="114" t="s">
        <v>773</v>
      </c>
      <c r="G90" s="98" t="s">
        <v>774</v>
      </c>
      <c r="H90" s="115" t="s">
        <v>581</v>
      </c>
      <c r="I90" s="115"/>
      <c r="J90" s="115" t="s">
        <v>1013</v>
      </c>
      <c r="K90" s="115" t="s">
        <v>1096</v>
      </c>
      <c r="L90" s="114" t="s">
        <v>775</v>
      </c>
      <c r="M90" s="114" t="s">
        <v>164</v>
      </c>
      <c r="N90" s="114"/>
      <c r="O90" s="114" t="s">
        <v>776</v>
      </c>
      <c r="P90" s="114"/>
      <c r="Q90" s="114"/>
      <c r="R90" s="98"/>
      <c r="S90" s="98"/>
      <c r="T90" s="98"/>
      <c r="U90" s="129">
        <v>0.88962645699999998</v>
      </c>
      <c r="V90" s="176"/>
      <c r="W90" s="176"/>
      <c r="X90" s="101">
        <f t="shared" si="3"/>
        <v>0.88962645699999998</v>
      </c>
      <c r="Y90" s="117">
        <v>126.7422756</v>
      </c>
      <c r="Z90" s="106" t="str">
        <f t="shared" si="4"/>
        <v>S</v>
      </c>
      <c r="AA90" s="101" t="s">
        <v>1396</v>
      </c>
      <c r="AB90" s="101"/>
      <c r="AC90" s="101"/>
      <c r="AD90" s="174"/>
      <c r="AE90" s="174"/>
      <c r="AF90" s="174"/>
      <c r="AG90" s="174"/>
      <c r="AH90" s="174"/>
      <c r="AI90" s="174"/>
      <c r="AJ90" s="174"/>
      <c r="AK90" s="174"/>
      <c r="AL90" s="174"/>
    </row>
    <row r="91" spans="1:38" s="45" customFormat="1">
      <c r="A91" s="53">
        <v>197</v>
      </c>
      <c r="B91" s="73" t="s">
        <v>875</v>
      </c>
      <c r="C91" s="54">
        <v>2007</v>
      </c>
      <c r="D91" s="73" t="s">
        <v>928</v>
      </c>
      <c r="E91" s="56" t="s">
        <v>20</v>
      </c>
      <c r="F91" s="54">
        <v>2003</v>
      </c>
      <c r="G91" s="54" t="s">
        <v>326</v>
      </c>
      <c r="H91" s="54" t="s">
        <v>159</v>
      </c>
      <c r="I91" s="54"/>
      <c r="J91" s="66" t="s">
        <v>1013</v>
      </c>
      <c r="K91" s="54" t="s">
        <v>1069</v>
      </c>
      <c r="L91" s="54" t="s">
        <v>403</v>
      </c>
      <c r="M91" s="54"/>
      <c r="N91" s="54"/>
      <c r="O91" s="54" t="s">
        <v>931</v>
      </c>
      <c r="P91" s="54">
        <v>0.97</v>
      </c>
      <c r="Q91" s="66"/>
      <c r="R91" s="66">
        <f>+P91</f>
        <v>0.97</v>
      </c>
      <c r="S91" s="66"/>
      <c r="T91" s="66"/>
      <c r="U91" s="66"/>
      <c r="V91" s="54">
        <v>19.899999999999999</v>
      </c>
      <c r="W91" s="66"/>
      <c r="X91" s="66">
        <f t="shared" si="3"/>
        <v>0.97</v>
      </c>
      <c r="Y91" s="206">
        <f>+V91</f>
        <v>19.899999999999999</v>
      </c>
      <c r="Z91" s="192" t="str">
        <f t="shared" si="4"/>
        <v>F</v>
      </c>
      <c r="AA91" s="66" t="s">
        <v>1396</v>
      </c>
      <c r="AB91" s="66"/>
      <c r="AC91" s="66"/>
      <c r="AD91" s="172"/>
      <c r="AE91" s="172"/>
      <c r="AF91" s="172"/>
      <c r="AG91" s="172"/>
      <c r="AH91" s="172"/>
      <c r="AI91" s="172"/>
      <c r="AJ91" s="172"/>
      <c r="AK91" s="172"/>
      <c r="AL91" s="172"/>
    </row>
    <row r="92" spans="1:38" s="45" customFormat="1">
      <c r="A92" s="53">
        <v>172</v>
      </c>
      <c r="B92" s="54" t="s">
        <v>585</v>
      </c>
      <c r="C92" s="54">
        <v>2010</v>
      </c>
      <c r="D92" s="54" t="s">
        <v>586</v>
      </c>
      <c r="E92" s="56" t="s">
        <v>589</v>
      </c>
      <c r="F92" s="57">
        <v>40235</v>
      </c>
      <c r="G92" s="54" t="s">
        <v>631</v>
      </c>
      <c r="H92" s="54" t="s">
        <v>159</v>
      </c>
      <c r="I92" s="54"/>
      <c r="J92" s="66" t="s">
        <v>1013</v>
      </c>
      <c r="K92" s="54" t="s">
        <v>1069</v>
      </c>
      <c r="L92" s="54" t="s">
        <v>634</v>
      </c>
      <c r="M92" s="59" t="s">
        <v>635</v>
      </c>
      <c r="N92" s="59"/>
      <c r="O92" s="54"/>
      <c r="P92" s="60"/>
      <c r="Q92" s="60"/>
      <c r="R92" s="54"/>
      <c r="S92" s="54"/>
      <c r="T92" s="54"/>
      <c r="U92" s="61">
        <v>0.95899999999999996</v>
      </c>
      <c r="V92" s="61"/>
      <c r="W92" s="61"/>
      <c r="X92" s="66">
        <f t="shared" si="3"/>
        <v>0.95899999999999996</v>
      </c>
      <c r="Y92" s="71">
        <v>51</v>
      </c>
      <c r="Z92" s="192" t="str">
        <f t="shared" si="4"/>
        <v>F</v>
      </c>
      <c r="AA92" s="66" t="s">
        <v>1396</v>
      </c>
      <c r="AB92" s="66"/>
      <c r="AC92" s="66"/>
      <c r="AD92" s="172"/>
      <c r="AE92" s="172"/>
      <c r="AF92" s="172"/>
      <c r="AG92" s="172"/>
      <c r="AH92" s="172"/>
      <c r="AI92" s="172"/>
      <c r="AJ92" s="172"/>
      <c r="AK92" s="172"/>
      <c r="AL92" s="172"/>
    </row>
    <row r="93" spans="1:38" s="45" customFormat="1">
      <c r="A93" s="53">
        <v>197</v>
      </c>
      <c r="B93" s="73" t="s">
        <v>875</v>
      </c>
      <c r="C93" s="54">
        <v>2007</v>
      </c>
      <c r="D93" s="73" t="s">
        <v>928</v>
      </c>
      <c r="E93" s="56" t="s">
        <v>20</v>
      </c>
      <c r="F93" s="54">
        <v>2003</v>
      </c>
      <c r="G93" s="54" t="s">
        <v>326</v>
      </c>
      <c r="H93" s="54" t="s">
        <v>159</v>
      </c>
      <c r="I93" s="54"/>
      <c r="J93" s="66" t="s">
        <v>1013</v>
      </c>
      <c r="K93" s="54" t="s">
        <v>1069</v>
      </c>
      <c r="L93" s="54" t="s">
        <v>403</v>
      </c>
      <c r="M93" s="54"/>
      <c r="N93" s="54"/>
      <c r="O93" s="54" t="s">
        <v>931</v>
      </c>
      <c r="P93" s="66"/>
      <c r="Q93" s="54">
        <v>0.87</v>
      </c>
      <c r="R93" s="66">
        <f>+Q93</f>
        <v>0.87</v>
      </c>
      <c r="S93" s="66"/>
      <c r="T93" s="66"/>
      <c r="U93" s="66"/>
      <c r="V93" s="66"/>
      <c r="W93" s="54">
        <v>134.9</v>
      </c>
      <c r="X93" s="66">
        <f t="shared" si="3"/>
        <v>0.87</v>
      </c>
      <c r="Y93" s="206">
        <f>+W93</f>
        <v>134.9</v>
      </c>
      <c r="Z93" s="192" t="str">
        <f t="shared" si="4"/>
        <v>S</v>
      </c>
      <c r="AA93" s="66" t="s">
        <v>1396</v>
      </c>
      <c r="AB93" s="66"/>
      <c r="AC93" s="66"/>
      <c r="AD93" s="172"/>
      <c r="AE93" s="172"/>
      <c r="AF93" s="172"/>
      <c r="AG93" s="172"/>
      <c r="AH93" s="172"/>
      <c r="AI93" s="172"/>
      <c r="AJ93" s="172"/>
      <c r="AK93" s="172"/>
      <c r="AL93" s="172"/>
    </row>
    <row r="94" spans="1:38" s="49" customFormat="1">
      <c r="A94" s="53">
        <v>118</v>
      </c>
      <c r="B94" s="73" t="s">
        <v>399</v>
      </c>
      <c r="C94" s="54">
        <v>1999</v>
      </c>
      <c r="D94" s="73" t="s">
        <v>400</v>
      </c>
      <c r="E94" s="56" t="s">
        <v>20</v>
      </c>
      <c r="F94" s="54">
        <v>1999</v>
      </c>
      <c r="G94" s="54" t="s">
        <v>326</v>
      </c>
      <c r="H94" s="54" t="s">
        <v>159</v>
      </c>
      <c r="I94" s="54"/>
      <c r="J94" s="66" t="s">
        <v>1013</v>
      </c>
      <c r="K94" s="54" t="s">
        <v>1056</v>
      </c>
      <c r="L94" s="54" t="s">
        <v>406</v>
      </c>
      <c r="M94" s="54"/>
      <c r="N94" s="54"/>
      <c r="O94" s="54">
        <v>4</v>
      </c>
      <c r="P94" s="54"/>
      <c r="Q94" s="54"/>
      <c r="R94" s="54"/>
      <c r="S94" s="54"/>
      <c r="T94" s="54"/>
      <c r="U94" s="54">
        <v>0.98</v>
      </c>
      <c r="V94" s="54"/>
      <c r="W94" s="54"/>
      <c r="X94" s="66">
        <f t="shared" si="3"/>
        <v>0.98</v>
      </c>
      <c r="Y94" s="71">
        <v>26.8</v>
      </c>
      <c r="Z94" s="192" t="str">
        <f t="shared" si="4"/>
        <v>F</v>
      </c>
      <c r="AA94" s="66" t="s">
        <v>1396</v>
      </c>
      <c r="AB94" s="66"/>
      <c r="AC94" s="66"/>
      <c r="AD94" s="172"/>
      <c r="AE94" s="172"/>
      <c r="AF94" s="172"/>
      <c r="AG94" s="172"/>
      <c r="AH94" s="172"/>
      <c r="AI94" s="172"/>
      <c r="AJ94" s="172"/>
      <c r="AK94" s="172"/>
      <c r="AL94" s="172"/>
    </row>
    <row r="95" spans="1:38" s="49" customFormat="1">
      <c r="A95" s="53">
        <v>118</v>
      </c>
      <c r="B95" s="73" t="s">
        <v>399</v>
      </c>
      <c r="C95" s="54">
        <v>1999</v>
      </c>
      <c r="D95" s="73" t="s">
        <v>400</v>
      </c>
      <c r="E95" s="56" t="s">
        <v>20</v>
      </c>
      <c r="F95" s="54">
        <v>1999</v>
      </c>
      <c r="G95" s="54" t="s">
        <v>326</v>
      </c>
      <c r="H95" s="54" t="s">
        <v>159</v>
      </c>
      <c r="I95" s="54"/>
      <c r="J95" s="95" t="s">
        <v>1013</v>
      </c>
      <c r="K95" s="60" t="s">
        <v>1056</v>
      </c>
      <c r="L95" s="54" t="s">
        <v>403</v>
      </c>
      <c r="M95" s="54"/>
      <c r="N95" s="54"/>
      <c r="O95" s="54">
        <v>1</v>
      </c>
      <c r="P95" s="54"/>
      <c r="Q95" s="54"/>
      <c r="R95" s="54"/>
      <c r="S95" s="54"/>
      <c r="T95" s="54"/>
      <c r="U95" s="54">
        <v>0.97</v>
      </c>
      <c r="V95" s="54"/>
      <c r="W95" s="54"/>
      <c r="X95" s="66">
        <f t="shared" si="3"/>
        <v>0.97</v>
      </c>
      <c r="Y95" s="71">
        <v>35.700000000000003</v>
      </c>
      <c r="Z95" s="192" t="str">
        <f t="shared" si="4"/>
        <v>F</v>
      </c>
      <c r="AA95" s="66" t="s">
        <v>1396</v>
      </c>
      <c r="AB95" s="66"/>
      <c r="AC95" s="66"/>
      <c r="AD95" s="172"/>
      <c r="AE95" s="172"/>
      <c r="AF95" s="172"/>
      <c r="AG95" s="172"/>
      <c r="AH95" s="172"/>
      <c r="AI95" s="172"/>
      <c r="AJ95" s="172"/>
      <c r="AK95" s="172"/>
      <c r="AL95" s="172"/>
    </row>
    <row r="96" spans="1:38" s="49" customFormat="1">
      <c r="A96" s="53">
        <v>197</v>
      </c>
      <c r="B96" s="73" t="s">
        <v>875</v>
      </c>
      <c r="C96" s="54">
        <v>2007</v>
      </c>
      <c r="D96" s="73" t="s">
        <v>928</v>
      </c>
      <c r="E96" s="56" t="s">
        <v>20</v>
      </c>
      <c r="F96" s="54">
        <v>2003</v>
      </c>
      <c r="G96" s="54" t="s">
        <v>326</v>
      </c>
      <c r="H96" s="54" t="s">
        <v>159</v>
      </c>
      <c r="I96" s="54"/>
      <c r="J96" s="66" t="s">
        <v>1013</v>
      </c>
      <c r="K96" s="54" t="s">
        <v>1111</v>
      </c>
      <c r="L96" s="54" t="s">
        <v>315</v>
      </c>
      <c r="M96" s="54"/>
      <c r="N96" s="54"/>
      <c r="O96" s="54" t="s">
        <v>930</v>
      </c>
      <c r="P96" s="54">
        <v>0.98</v>
      </c>
      <c r="Q96" s="66"/>
      <c r="R96" s="66">
        <f>+P96</f>
        <v>0.98</v>
      </c>
      <c r="S96" s="66"/>
      <c r="T96" s="66"/>
      <c r="U96" s="66"/>
      <c r="V96" s="54">
        <v>15.1</v>
      </c>
      <c r="W96" s="66"/>
      <c r="X96" s="66">
        <f t="shared" si="3"/>
        <v>0.98</v>
      </c>
      <c r="Y96" s="206">
        <f>+V96</f>
        <v>15.1</v>
      </c>
      <c r="Z96" s="192" t="str">
        <f t="shared" si="4"/>
        <v>F</v>
      </c>
      <c r="AA96" s="66" t="s">
        <v>1396</v>
      </c>
      <c r="AB96" s="66"/>
      <c r="AC96" s="66"/>
      <c r="AD96" s="172"/>
      <c r="AE96" s="172"/>
      <c r="AF96" s="172"/>
      <c r="AG96" s="172"/>
      <c r="AH96" s="172"/>
      <c r="AI96" s="172"/>
      <c r="AJ96" s="172"/>
      <c r="AK96" s="172"/>
      <c r="AL96" s="172"/>
    </row>
    <row r="97" spans="1:38" s="49" customFormat="1">
      <c r="A97" s="53">
        <v>197</v>
      </c>
      <c r="B97" s="73" t="s">
        <v>875</v>
      </c>
      <c r="C97" s="54">
        <v>2007</v>
      </c>
      <c r="D97" s="73" t="s">
        <v>928</v>
      </c>
      <c r="E97" s="56" t="s">
        <v>20</v>
      </c>
      <c r="F97" s="54">
        <v>2003</v>
      </c>
      <c r="G97" s="54" t="s">
        <v>326</v>
      </c>
      <c r="H97" s="54" t="s">
        <v>159</v>
      </c>
      <c r="I97" s="54"/>
      <c r="J97" s="66" t="s">
        <v>1013</v>
      </c>
      <c r="K97" s="54" t="s">
        <v>1111</v>
      </c>
      <c r="L97" s="54" t="s">
        <v>315</v>
      </c>
      <c r="M97" s="54"/>
      <c r="N97" s="54"/>
      <c r="O97" s="54" t="s">
        <v>930</v>
      </c>
      <c r="P97" s="66"/>
      <c r="Q97" s="54">
        <v>0.88</v>
      </c>
      <c r="R97" s="66">
        <f>+Q97</f>
        <v>0.88</v>
      </c>
      <c r="S97" s="66"/>
      <c r="T97" s="66"/>
      <c r="U97" s="66"/>
      <c r="V97" s="66"/>
      <c r="W97" s="54">
        <v>126.7</v>
      </c>
      <c r="X97" s="66">
        <f t="shared" si="3"/>
        <v>0.88</v>
      </c>
      <c r="Y97" s="206">
        <f>+W97</f>
        <v>126.7</v>
      </c>
      <c r="Z97" s="192" t="str">
        <f t="shared" si="4"/>
        <v>S</v>
      </c>
      <c r="AA97" s="66" t="s">
        <v>1396</v>
      </c>
      <c r="AB97" s="66"/>
      <c r="AC97" s="66"/>
      <c r="AD97" s="172"/>
      <c r="AE97" s="172"/>
      <c r="AF97" s="172"/>
      <c r="AG97" s="172"/>
      <c r="AH97" s="172"/>
      <c r="AI97" s="172"/>
      <c r="AJ97" s="172"/>
      <c r="AK97" s="172"/>
      <c r="AL97" s="172"/>
    </row>
    <row r="98" spans="1:38" s="49" customFormat="1">
      <c r="A98" s="53">
        <v>4</v>
      </c>
      <c r="B98" s="60" t="s">
        <v>16</v>
      </c>
      <c r="C98" s="60">
        <v>1969</v>
      </c>
      <c r="D98" s="60" t="s">
        <v>17</v>
      </c>
      <c r="E98" s="56" t="s">
        <v>20</v>
      </c>
      <c r="F98" s="54">
        <v>1968</v>
      </c>
      <c r="G98" s="54" t="s">
        <v>21</v>
      </c>
      <c r="H98" s="54" t="s">
        <v>23</v>
      </c>
      <c r="I98" s="54"/>
      <c r="J98" s="54" t="s">
        <v>1013</v>
      </c>
      <c r="K98" s="54" t="s">
        <v>1169</v>
      </c>
      <c r="L98" s="54" t="s">
        <v>29</v>
      </c>
      <c r="M98" s="54"/>
      <c r="N98" s="54"/>
      <c r="O98" s="54" t="s">
        <v>31</v>
      </c>
      <c r="P98" s="54"/>
      <c r="Q98" s="54"/>
      <c r="R98" s="54"/>
      <c r="S98" s="54"/>
      <c r="T98" s="54"/>
      <c r="U98" s="54"/>
      <c r="V98" s="54"/>
      <c r="W98" s="54"/>
      <c r="X98" s="66" t="str">
        <f t="shared" si="3"/>
        <v/>
      </c>
      <c r="Y98" s="71">
        <v>59</v>
      </c>
      <c r="Z98" s="192" t="str">
        <f t="shared" ref="Z98:Z110" si="5">IF(X98&lt;&gt;"",IF(X98&lt;0.9,"S","F"),"")</f>
        <v/>
      </c>
      <c r="AA98" s="66" t="s">
        <v>1396</v>
      </c>
      <c r="AB98" s="66"/>
      <c r="AC98" s="66"/>
      <c r="AD98" s="172"/>
      <c r="AE98" s="172"/>
      <c r="AF98" s="172"/>
      <c r="AG98" s="172"/>
      <c r="AH98" s="172"/>
      <c r="AI98" s="172"/>
      <c r="AJ98" s="172"/>
      <c r="AK98" s="172"/>
      <c r="AL98" s="172"/>
    </row>
    <row r="99" spans="1:38" s="49" customFormat="1">
      <c r="A99" s="53">
        <v>4</v>
      </c>
      <c r="B99" s="60" t="s">
        <v>16</v>
      </c>
      <c r="C99" s="60">
        <v>1969</v>
      </c>
      <c r="D99" s="60" t="s">
        <v>17</v>
      </c>
      <c r="E99" s="56" t="s">
        <v>20</v>
      </c>
      <c r="F99" s="54">
        <v>1968</v>
      </c>
      <c r="G99" s="54" t="s">
        <v>21</v>
      </c>
      <c r="H99" s="54" t="s">
        <v>23</v>
      </c>
      <c r="I99" s="54"/>
      <c r="J99" s="54" t="s">
        <v>1013</v>
      </c>
      <c r="K99" s="54" t="s">
        <v>1169</v>
      </c>
      <c r="L99" s="54" t="s">
        <v>29</v>
      </c>
      <c r="M99" s="54"/>
      <c r="N99" s="54"/>
      <c r="O99" s="54" t="s">
        <v>30</v>
      </c>
      <c r="P99" s="54"/>
      <c r="Q99" s="54"/>
      <c r="R99" s="54"/>
      <c r="S99" s="54"/>
      <c r="T99" s="54"/>
      <c r="U99" s="54"/>
      <c r="V99" s="54"/>
      <c r="W99" s="54"/>
      <c r="X99" s="66" t="str">
        <f t="shared" si="3"/>
        <v/>
      </c>
      <c r="Y99" s="71">
        <v>56</v>
      </c>
      <c r="Z99" s="192" t="str">
        <f t="shared" si="5"/>
        <v/>
      </c>
      <c r="AA99" s="66" t="s">
        <v>1396</v>
      </c>
      <c r="AB99" s="66"/>
      <c r="AC99" s="66"/>
      <c r="AD99" s="172"/>
      <c r="AE99" s="172"/>
      <c r="AF99" s="172"/>
      <c r="AG99" s="172"/>
      <c r="AH99" s="172"/>
      <c r="AI99" s="172"/>
      <c r="AJ99" s="172"/>
      <c r="AK99" s="172"/>
      <c r="AL99" s="172"/>
    </row>
    <row r="100" spans="1:38" s="49" customFormat="1">
      <c r="A100" s="53">
        <v>173</v>
      </c>
      <c r="B100" s="54" t="s">
        <v>585</v>
      </c>
      <c r="C100" s="54">
        <v>2011</v>
      </c>
      <c r="D100" s="78" t="s">
        <v>636</v>
      </c>
      <c r="E100" s="56" t="s">
        <v>638</v>
      </c>
      <c r="F100" s="57" t="s">
        <v>656</v>
      </c>
      <c r="G100" s="54" t="s">
        <v>657</v>
      </c>
      <c r="H100" s="54" t="s">
        <v>146</v>
      </c>
      <c r="I100" s="54"/>
      <c r="J100" s="66" t="s">
        <v>1013</v>
      </c>
      <c r="K100" s="54" t="s">
        <v>1082</v>
      </c>
      <c r="L100" s="54" t="s">
        <v>658</v>
      </c>
      <c r="M100" s="59"/>
      <c r="N100" s="59"/>
      <c r="O100" s="54" t="s">
        <v>659</v>
      </c>
      <c r="P100" s="60"/>
      <c r="Q100" s="60"/>
      <c r="R100" s="54"/>
      <c r="S100" s="54"/>
      <c r="T100" s="54"/>
      <c r="U100" s="61">
        <v>0.91300000000000003</v>
      </c>
      <c r="V100" s="61"/>
      <c r="W100" s="61"/>
      <c r="X100" s="66">
        <f t="shared" si="3"/>
        <v>0.91300000000000003</v>
      </c>
      <c r="Y100" s="71">
        <v>97</v>
      </c>
      <c r="Z100" s="192" t="str">
        <f t="shared" si="5"/>
        <v>F</v>
      </c>
      <c r="AA100" s="66" t="s">
        <v>1396</v>
      </c>
      <c r="AB100" s="66"/>
      <c r="AC100" s="66"/>
      <c r="AD100" s="172"/>
      <c r="AE100" s="172"/>
      <c r="AF100" s="172"/>
      <c r="AG100" s="172"/>
      <c r="AH100" s="172"/>
      <c r="AI100" s="172"/>
      <c r="AJ100" s="172"/>
      <c r="AK100" s="172"/>
      <c r="AL100" s="172"/>
    </row>
    <row r="101" spans="1:38" s="49" customFormat="1">
      <c r="A101" s="53">
        <v>173</v>
      </c>
      <c r="B101" s="54" t="s">
        <v>585</v>
      </c>
      <c r="C101" s="54">
        <v>2011</v>
      </c>
      <c r="D101" s="78" t="s">
        <v>636</v>
      </c>
      <c r="E101" s="56" t="s">
        <v>638</v>
      </c>
      <c r="F101" s="57" t="s">
        <v>656</v>
      </c>
      <c r="G101" s="54" t="s">
        <v>657</v>
      </c>
      <c r="H101" s="54" t="s">
        <v>146</v>
      </c>
      <c r="I101" s="54"/>
      <c r="J101" s="66" t="s">
        <v>1013</v>
      </c>
      <c r="K101" s="54" t="s">
        <v>1082</v>
      </c>
      <c r="L101" s="54" t="s">
        <v>660</v>
      </c>
      <c r="M101" s="59"/>
      <c r="N101" s="59"/>
      <c r="O101" s="54" t="s">
        <v>661</v>
      </c>
      <c r="P101" s="60"/>
      <c r="Q101" s="60"/>
      <c r="R101" s="54"/>
      <c r="S101" s="54"/>
      <c r="T101" s="54"/>
      <c r="U101" s="61">
        <v>0.88500000000000001</v>
      </c>
      <c r="V101" s="61"/>
      <c r="W101" s="61"/>
      <c r="X101" s="66">
        <f t="shared" si="3"/>
        <v>0.88500000000000001</v>
      </c>
      <c r="Y101" s="71">
        <v>126</v>
      </c>
      <c r="Z101" s="192" t="str">
        <f t="shared" si="5"/>
        <v>S</v>
      </c>
      <c r="AA101" s="66" t="s">
        <v>1396</v>
      </c>
      <c r="AB101" s="66"/>
      <c r="AC101" s="66"/>
      <c r="AD101" s="172"/>
      <c r="AE101" s="172"/>
      <c r="AF101" s="172"/>
      <c r="AG101" s="172"/>
      <c r="AH101" s="172"/>
      <c r="AI101" s="172"/>
      <c r="AJ101" s="172"/>
      <c r="AK101" s="172"/>
      <c r="AL101" s="172"/>
    </row>
    <row r="102" spans="1:38" s="49" customFormat="1">
      <c r="A102" s="53">
        <v>197</v>
      </c>
      <c r="B102" s="73" t="s">
        <v>875</v>
      </c>
      <c r="C102" s="54">
        <v>2007</v>
      </c>
      <c r="D102" s="73" t="s">
        <v>928</v>
      </c>
      <c r="E102" s="56" t="s">
        <v>20</v>
      </c>
      <c r="F102" s="54">
        <v>2003</v>
      </c>
      <c r="G102" s="54" t="s">
        <v>326</v>
      </c>
      <c r="H102" s="54" t="s">
        <v>159</v>
      </c>
      <c r="I102" s="54"/>
      <c r="J102" s="66" t="s">
        <v>1013</v>
      </c>
      <c r="K102" s="54" t="s">
        <v>1112</v>
      </c>
      <c r="L102" s="54" t="s">
        <v>924</v>
      </c>
      <c r="M102" s="54"/>
      <c r="N102" s="54"/>
      <c r="O102" s="54" t="s">
        <v>932</v>
      </c>
      <c r="P102" s="54">
        <v>0.98</v>
      </c>
      <c r="Q102" s="66"/>
      <c r="R102" s="66">
        <f>+P102</f>
        <v>0.98</v>
      </c>
      <c r="S102" s="66"/>
      <c r="T102" s="66"/>
      <c r="U102" s="66"/>
      <c r="V102" s="54">
        <v>11.2</v>
      </c>
      <c r="W102" s="66"/>
      <c r="X102" s="66">
        <f t="shared" si="3"/>
        <v>0.98</v>
      </c>
      <c r="Y102" s="206">
        <f>+V102</f>
        <v>11.2</v>
      </c>
      <c r="Z102" s="192" t="str">
        <f t="shared" si="5"/>
        <v>F</v>
      </c>
      <c r="AA102" s="66" t="s">
        <v>1396</v>
      </c>
      <c r="AB102" s="66"/>
      <c r="AC102" s="66"/>
      <c r="AD102" s="172"/>
      <c r="AE102" s="172"/>
      <c r="AF102" s="172"/>
      <c r="AG102" s="172"/>
      <c r="AH102" s="172"/>
      <c r="AI102" s="172"/>
      <c r="AJ102" s="172"/>
      <c r="AK102" s="172"/>
      <c r="AL102" s="172"/>
    </row>
    <row r="103" spans="1:38" s="49" customFormat="1">
      <c r="A103" s="53">
        <v>197</v>
      </c>
      <c r="B103" s="73" t="s">
        <v>875</v>
      </c>
      <c r="C103" s="54">
        <v>2007</v>
      </c>
      <c r="D103" s="73" t="s">
        <v>928</v>
      </c>
      <c r="E103" s="56" t="s">
        <v>20</v>
      </c>
      <c r="F103" s="54">
        <v>2003</v>
      </c>
      <c r="G103" s="54" t="s">
        <v>326</v>
      </c>
      <c r="H103" s="54" t="s">
        <v>159</v>
      </c>
      <c r="I103" s="54"/>
      <c r="J103" s="66" t="s">
        <v>1013</v>
      </c>
      <c r="K103" s="54" t="s">
        <v>1112</v>
      </c>
      <c r="L103" s="54" t="s">
        <v>924</v>
      </c>
      <c r="M103" s="54"/>
      <c r="N103" s="54"/>
      <c r="O103" s="54" t="s">
        <v>932</v>
      </c>
      <c r="P103" s="66"/>
      <c r="Q103" s="54">
        <v>0.8</v>
      </c>
      <c r="R103" s="66">
        <f>+Q103</f>
        <v>0.8</v>
      </c>
      <c r="S103" s="66"/>
      <c r="T103" s="66"/>
      <c r="U103" s="66"/>
      <c r="V103" s="66"/>
      <c r="W103" s="54">
        <v>157.4</v>
      </c>
      <c r="X103" s="66">
        <f t="shared" si="3"/>
        <v>0.8</v>
      </c>
      <c r="Y103" s="206">
        <f>+W103</f>
        <v>157.4</v>
      </c>
      <c r="Z103" s="192" t="str">
        <f t="shared" si="5"/>
        <v>S</v>
      </c>
      <c r="AA103" s="66" t="s">
        <v>1396</v>
      </c>
      <c r="AB103" s="66"/>
      <c r="AC103" s="66"/>
      <c r="AD103" s="172"/>
      <c r="AE103" s="172"/>
      <c r="AF103" s="172"/>
      <c r="AG103" s="172"/>
      <c r="AH103" s="172"/>
      <c r="AI103" s="172"/>
      <c r="AJ103" s="172"/>
      <c r="AK103" s="172"/>
      <c r="AL103" s="172"/>
    </row>
    <row r="104" spans="1:38" s="49" customFormat="1">
      <c r="A104" s="53">
        <v>101</v>
      </c>
      <c r="B104" s="73" t="s">
        <v>298</v>
      </c>
      <c r="C104" s="54">
        <v>1994</v>
      </c>
      <c r="D104" s="73" t="s">
        <v>299</v>
      </c>
      <c r="E104" s="56" t="s">
        <v>172</v>
      </c>
      <c r="F104" s="54">
        <v>1994</v>
      </c>
      <c r="G104" s="54" t="s">
        <v>301</v>
      </c>
      <c r="H104" s="54" t="s">
        <v>302</v>
      </c>
      <c r="I104" s="54" t="s">
        <v>1014</v>
      </c>
      <c r="J104" s="54" t="s">
        <v>1013</v>
      </c>
      <c r="K104" s="54"/>
      <c r="L104" s="54" t="s">
        <v>303</v>
      </c>
      <c r="M104" s="54"/>
      <c r="N104" s="54"/>
      <c r="O104" s="54" t="s">
        <v>310</v>
      </c>
      <c r="P104" s="54"/>
      <c r="Q104" s="54"/>
      <c r="R104" s="54"/>
      <c r="S104" s="54"/>
      <c r="T104" s="54"/>
      <c r="U104" s="54">
        <v>0.97</v>
      </c>
      <c r="V104" s="54"/>
      <c r="W104" s="54"/>
      <c r="X104" s="66">
        <f t="shared" si="3"/>
        <v>0.97</v>
      </c>
      <c r="Y104" s="71">
        <v>37</v>
      </c>
      <c r="Z104" s="192" t="str">
        <f t="shared" si="5"/>
        <v>F</v>
      </c>
      <c r="AA104" s="66" t="s">
        <v>1396</v>
      </c>
      <c r="AB104" s="66"/>
      <c r="AC104" s="66"/>
      <c r="AD104" s="172"/>
      <c r="AE104" s="172"/>
      <c r="AF104" s="172"/>
      <c r="AG104" s="172"/>
      <c r="AH104" s="172"/>
      <c r="AI104" s="172"/>
      <c r="AJ104" s="172"/>
      <c r="AK104" s="172"/>
      <c r="AL104" s="172"/>
    </row>
    <row r="105" spans="1:38" s="49" customFormat="1">
      <c r="A105" s="53">
        <v>101</v>
      </c>
      <c r="B105" s="73" t="s">
        <v>298</v>
      </c>
      <c r="C105" s="54">
        <v>1994</v>
      </c>
      <c r="D105" s="73" t="s">
        <v>299</v>
      </c>
      <c r="E105" s="56" t="s">
        <v>172</v>
      </c>
      <c r="F105" s="54">
        <v>1994</v>
      </c>
      <c r="G105" s="54" t="s">
        <v>301</v>
      </c>
      <c r="H105" s="54" t="s">
        <v>302</v>
      </c>
      <c r="I105" s="54" t="s">
        <v>1014</v>
      </c>
      <c r="J105" s="54" t="s">
        <v>1013</v>
      </c>
      <c r="K105" s="54"/>
      <c r="L105" s="54" t="s">
        <v>303</v>
      </c>
      <c r="M105" s="54"/>
      <c r="N105" s="54"/>
      <c r="O105" s="54" t="s">
        <v>307</v>
      </c>
      <c r="P105" s="54"/>
      <c r="Q105" s="54"/>
      <c r="R105" s="54"/>
      <c r="S105" s="54"/>
      <c r="T105" s="54"/>
      <c r="U105" s="54">
        <v>0.96</v>
      </c>
      <c r="V105" s="54"/>
      <c r="W105" s="54"/>
      <c r="X105" s="66">
        <f t="shared" si="3"/>
        <v>0.96</v>
      </c>
      <c r="Y105" s="71">
        <v>45</v>
      </c>
      <c r="Z105" s="192" t="str">
        <f t="shared" si="5"/>
        <v>F</v>
      </c>
      <c r="AA105" s="66" t="s">
        <v>1396</v>
      </c>
      <c r="AB105" s="66"/>
      <c r="AC105" s="66"/>
      <c r="AD105" s="172"/>
      <c r="AE105" s="172"/>
      <c r="AF105" s="172"/>
      <c r="AG105" s="172"/>
      <c r="AH105" s="172"/>
      <c r="AI105" s="172"/>
      <c r="AJ105" s="172"/>
      <c r="AK105" s="172"/>
      <c r="AL105" s="172"/>
    </row>
    <row r="106" spans="1:38" s="49" customFormat="1">
      <c r="A106" s="53">
        <v>101</v>
      </c>
      <c r="B106" s="73" t="s">
        <v>298</v>
      </c>
      <c r="C106" s="54">
        <v>1994</v>
      </c>
      <c r="D106" s="73" t="s">
        <v>299</v>
      </c>
      <c r="E106" s="56" t="s">
        <v>172</v>
      </c>
      <c r="F106" s="54">
        <v>1994</v>
      </c>
      <c r="G106" s="54" t="s">
        <v>301</v>
      </c>
      <c r="H106" s="54" t="s">
        <v>302</v>
      </c>
      <c r="I106" s="54" t="s">
        <v>1014</v>
      </c>
      <c r="J106" s="54" t="s">
        <v>1013</v>
      </c>
      <c r="K106" s="54"/>
      <c r="L106" s="54" t="s">
        <v>303</v>
      </c>
      <c r="M106" s="54"/>
      <c r="N106" s="54"/>
      <c r="O106" s="54" t="s">
        <v>305</v>
      </c>
      <c r="P106" s="54"/>
      <c r="Q106" s="54"/>
      <c r="R106" s="54"/>
      <c r="S106" s="54"/>
      <c r="T106" s="54"/>
      <c r="U106" s="54">
        <v>0.95</v>
      </c>
      <c r="V106" s="54"/>
      <c r="W106" s="54"/>
      <c r="X106" s="66">
        <f t="shared" si="3"/>
        <v>0.95</v>
      </c>
      <c r="Y106" s="71">
        <v>61</v>
      </c>
      <c r="Z106" s="192" t="str">
        <f t="shared" si="5"/>
        <v>F</v>
      </c>
      <c r="AA106" s="66" t="s">
        <v>1396</v>
      </c>
      <c r="AB106" s="66"/>
      <c r="AC106" s="66"/>
      <c r="AD106" s="172"/>
      <c r="AE106" s="172"/>
      <c r="AF106" s="172"/>
      <c r="AG106" s="172"/>
      <c r="AH106" s="172"/>
      <c r="AI106" s="172"/>
      <c r="AJ106" s="172"/>
      <c r="AK106" s="172"/>
      <c r="AL106" s="172"/>
    </row>
    <row r="107" spans="1:38" s="49" customFormat="1">
      <c r="A107" s="53">
        <v>101</v>
      </c>
      <c r="B107" s="73" t="s">
        <v>298</v>
      </c>
      <c r="C107" s="54">
        <v>1994</v>
      </c>
      <c r="D107" s="73" t="s">
        <v>299</v>
      </c>
      <c r="E107" s="56" t="s">
        <v>172</v>
      </c>
      <c r="F107" s="54">
        <v>1994</v>
      </c>
      <c r="G107" s="54" t="s">
        <v>301</v>
      </c>
      <c r="H107" s="54" t="s">
        <v>302</v>
      </c>
      <c r="I107" s="54" t="s">
        <v>1014</v>
      </c>
      <c r="J107" s="54" t="s">
        <v>1013</v>
      </c>
      <c r="K107" s="54"/>
      <c r="L107" s="54" t="s">
        <v>303</v>
      </c>
      <c r="M107" s="54"/>
      <c r="N107" s="54"/>
      <c r="O107" s="54" t="s">
        <v>304</v>
      </c>
      <c r="P107" s="54"/>
      <c r="Q107" s="54"/>
      <c r="R107" s="54"/>
      <c r="S107" s="54"/>
      <c r="T107" s="54"/>
      <c r="U107" s="54">
        <v>0.94</v>
      </c>
      <c r="V107" s="54"/>
      <c r="W107" s="54"/>
      <c r="X107" s="66">
        <f t="shared" si="3"/>
        <v>0.94</v>
      </c>
      <c r="Y107" s="71">
        <v>73</v>
      </c>
      <c r="Z107" s="192" t="str">
        <f t="shared" si="5"/>
        <v>F</v>
      </c>
      <c r="AA107" s="66" t="s">
        <v>1396</v>
      </c>
      <c r="AB107" s="66"/>
      <c r="AC107" s="66"/>
      <c r="AD107" s="172"/>
      <c r="AE107" s="172"/>
      <c r="AF107" s="172"/>
      <c r="AG107" s="172"/>
      <c r="AH107" s="172"/>
      <c r="AI107" s="172"/>
      <c r="AJ107" s="172"/>
      <c r="AK107" s="172"/>
      <c r="AL107" s="172"/>
    </row>
    <row r="108" spans="1:38" s="49" customFormat="1">
      <c r="A108" s="53">
        <v>101</v>
      </c>
      <c r="B108" s="73" t="s">
        <v>298</v>
      </c>
      <c r="C108" s="54">
        <v>1994</v>
      </c>
      <c r="D108" s="73" t="s">
        <v>299</v>
      </c>
      <c r="E108" s="56" t="s">
        <v>172</v>
      </c>
      <c r="F108" s="54">
        <v>1994</v>
      </c>
      <c r="G108" s="54" t="s">
        <v>301</v>
      </c>
      <c r="H108" s="54" t="s">
        <v>302</v>
      </c>
      <c r="I108" s="54" t="s">
        <v>1014</v>
      </c>
      <c r="J108" s="54" t="s">
        <v>1013</v>
      </c>
      <c r="K108" s="54"/>
      <c r="L108" s="54" t="s">
        <v>303</v>
      </c>
      <c r="M108" s="54"/>
      <c r="N108" s="54"/>
      <c r="O108" s="54" t="s">
        <v>308</v>
      </c>
      <c r="P108" s="54"/>
      <c r="Q108" s="54"/>
      <c r="R108" s="54"/>
      <c r="S108" s="54"/>
      <c r="T108" s="54"/>
      <c r="U108" s="54">
        <v>0.94</v>
      </c>
      <c r="V108" s="54"/>
      <c r="W108" s="54"/>
      <c r="X108" s="66">
        <f t="shared" si="3"/>
        <v>0.94</v>
      </c>
      <c r="Y108" s="71">
        <v>73</v>
      </c>
      <c r="Z108" s="192" t="str">
        <f t="shared" si="5"/>
        <v>F</v>
      </c>
      <c r="AA108" s="66" t="s">
        <v>1396</v>
      </c>
      <c r="AB108" s="66"/>
      <c r="AC108" s="66"/>
      <c r="AD108" s="172"/>
      <c r="AE108" s="172"/>
      <c r="AF108" s="172"/>
      <c r="AG108" s="172"/>
      <c r="AH108" s="172"/>
      <c r="AI108" s="172"/>
      <c r="AJ108" s="172"/>
      <c r="AK108" s="172"/>
      <c r="AL108" s="172"/>
    </row>
    <row r="109" spans="1:38" s="49" customFormat="1">
      <c r="A109" s="53">
        <v>101</v>
      </c>
      <c r="B109" s="73" t="s">
        <v>298</v>
      </c>
      <c r="C109" s="54">
        <v>1994</v>
      </c>
      <c r="D109" s="73" t="s">
        <v>299</v>
      </c>
      <c r="E109" s="56" t="s">
        <v>172</v>
      </c>
      <c r="F109" s="54">
        <v>1994</v>
      </c>
      <c r="G109" s="54" t="s">
        <v>301</v>
      </c>
      <c r="H109" s="54" t="s">
        <v>302</v>
      </c>
      <c r="I109" s="54" t="s">
        <v>1014</v>
      </c>
      <c r="J109" s="54" t="s">
        <v>1013</v>
      </c>
      <c r="K109" s="54"/>
      <c r="L109" s="54" t="s">
        <v>303</v>
      </c>
      <c r="M109" s="54"/>
      <c r="N109" s="54"/>
      <c r="O109" s="54" t="s">
        <v>306</v>
      </c>
      <c r="P109" s="54"/>
      <c r="Q109" s="54"/>
      <c r="R109" s="54"/>
      <c r="S109" s="54"/>
      <c r="T109" s="54"/>
      <c r="U109" s="54">
        <v>0.94</v>
      </c>
      <c r="V109" s="54"/>
      <c r="W109" s="54"/>
      <c r="X109" s="66">
        <f t="shared" si="3"/>
        <v>0.94</v>
      </c>
      <c r="Y109" s="71">
        <v>72</v>
      </c>
      <c r="Z109" s="192" t="str">
        <f t="shared" si="5"/>
        <v>F</v>
      </c>
      <c r="AA109" s="66" t="s">
        <v>1396</v>
      </c>
      <c r="AB109" s="66"/>
      <c r="AC109" s="66"/>
      <c r="AD109" s="172"/>
      <c r="AE109" s="172"/>
      <c r="AF109" s="172"/>
      <c r="AG109" s="172"/>
      <c r="AH109" s="172"/>
      <c r="AI109" s="172"/>
      <c r="AJ109" s="172"/>
      <c r="AK109" s="172"/>
      <c r="AL109" s="172"/>
    </row>
    <row r="110" spans="1:38" s="49" customFormat="1">
      <c r="A110" s="53">
        <v>101</v>
      </c>
      <c r="B110" s="73" t="s">
        <v>298</v>
      </c>
      <c r="C110" s="54">
        <v>1994</v>
      </c>
      <c r="D110" s="73" t="s">
        <v>299</v>
      </c>
      <c r="E110" s="56" t="s">
        <v>172</v>
      </c>
      <c r="F110" s="54">
        <v>1994</v>
      </c>
      <c r="G110" s="54" t="s">
        <v>301</v>
      </c>
      <c r="H110" s="54" t="s">
        <v>302</v>
      </c>
      <c r="I110" s="54" t="s">
        <v>1014</v>
      </c>
      <c r="J110" s="54" t="s">
        <v>1013</v>
      </c>
      <c r="K110" s="54"/>
      <c r="L110" s="54" t="s">
        <v>303</v>
      </c>
      <c r="M110" s="54"/>
      <c r="N110" s="54"/>
      <c r="O110" s="54" t="s">
        <v>309</v>
      </c>
      <c r="P110" s="54"/>
      <c r="Q110" s="54"/>
      <c r="R110" s="54"/>
      <c r="S110" s="54"/>
      <c r="T110" s="54"/>
      <c r="U110" s="54">
        <v>0.86</v>
      </c>
      <c r="V110" s="54"/>
      <c r="W110" s="54"/>
      <c r="X110" s="66">
        <f t="shared" si="3"/>
        <v>0.86</v>
      </c>
      <c r="Y110" s="71">
        <v>158</v>
      </c>
      <c r="Z110" s="192" t="str">
        <f t="shared" si="5"/>
        <v>S</v>
      </c>
      <c r="AA110" s="66" t="s">
        <v>1396</v>
      </c>
      <c r="AB110" s="66"/>
      <c r="AC110" s="66"/>
      <c r="AD110" s="172"/>
      <c r="AE110" s="172"/>
      <c r="AF110" s="172"/>
      <c r="AG110" s="172"/>
      <c r="AH110" s="172"/>
      <c r="AI110" s="172"/>
      <c r="AJ110" s="172"/>
      <c r="AK110" s="172"/>
      <c r="AL110" s="172"/>
    </row>
    <row r="111" spans="1:38" s="118" customFormat="1">
      <c r="A111" s="101"/>
      <c r="B111" s="182" t="s">
        <v>968</v>
      </c>
      <c r="C111" s="132">
        <v>1996</v>
      </c>
      <c r="D111" s="101"/>
      <c r="E111" s="123" t="s">
        <v>172</v>
      </c>
      <c r="F111" s="101"/>
      <c r="G111" s="101"/>
      <c r="H111" s="182" t="s">
        <v>23</v>
      </c>
      <c r="I111" s="182"/>
      <c r="J111" s="101" t="s">
        <v>1013</v>
      </c>
      <c r="K111" s="182" t="s">
        <v>1002</v>
      </c>
      <c r="L111" s="182" t="s">
        <v>1002</v>
      </c>
      <c r="M111" s="182" t="s">
        <v>1003</v>
      </c>
      <c r="N111" s="182"/>
      <c r="O111" s="182" t="s">
        <v>1005</v>
      </c>
      <c r="P111" s="101"/>
      <c r="Q111" s="101"/>
      <c r="R111" s="101"/>
      <c r="S111" s="101"/>
      <c r="T111" s="101"/>
      <c r="U111" s="101"/>
      <c r="V111" s="101">
        <f>118*28/12/2</f>
        <v>137.66666666666666</v>
      </c>
      <c r="W111" s="101"/>
      <c r="X111" s="101" t="str">
        <f t="shared" si="3"/>
        <v/>
      </c>
      <c r="Y111" s="304">
        <f>118*28/12/2</f>
        <v>137.66666666666666</v>
      </c>
      <c r="Z111" s="106" t="s">
        <v>1192</v>
      </c>
      <c r="AA111" s="107" t="s">
        <v>1397</v>
      </c>
      <c r="AB111" s="182" t="s">
        <v>1391</v>
      </c>
      <c r="AC111" s="292">
        <f>AVERAGE($Y$111:$Y$142)</f>
        <v>153.41666666666666</v>
      </c>
      <c r="AD111" s="292">
        <f>MEDIAN($Y$111:$Y$142)</f>
        <v>155.5</v>
      </c>
      <c r="AE111" s="292">
        <f>MAX($Y$111:$Y$142)</f>
        <v>358</v>
      </c>
      <c r="AF111" s="292">
        <f>MIN($Y$111:$Y$142)</f>
        <v>28</v>
      </c>
      <c r="AG111" s="292">
        <f>STDEV($Y$111:$Y$142)</f>
        <v>77.687546226597206</v>
      </c>
      <c r="AH111" s="292">
        <f>COUNT($Y$111:$Y$142)</f>
        <v>32</v>
      </c>
      <c r="AI111" s="174"/>
      <c r="AJ111" s="174"/>
      <c r="AK111" s="174"/>
      <c r="AL111" s="174"/>
    </row>
    <row r="112" spans="1:38" s="118" customFormat="1">
      <c r="A112" s="97"/>
      <c r="B112" s="258" t="s">
        <v>1276</v>
      </c>
      <c r="C112" s="259">
        <v>1989</v>
      </c>
      <c r="D112" s="101"/>
      <c r="E112" s="103" t="s">
        <v>49</v>
      </c>
      <c r="F112" s="98"/>
      <c r="G112" s="98"/>
      <c r="H112" s="98"/>
      <c r="I112" s="98"/>
      <c r="J112" s="292" t="s">
        <v>1013</v>
      </c>
      <c r="K112" s="292" t="s">
        <v>1002</v>
      </c>
      <c r="L112" s="98"/>
      <c r="M112" s="107"/>
      <c r="N112" s="98"/>
      <c r="O112" s="107" t="s">
        <v>1233</v>
      </c>
      <c r="P112" s="98"/>
      <c r="Q112" s="98"/>
      <c r="R112" s="107">
        <v>0.97199999999999998</v>
      </c>
      <c r="S112" s="98"/>
      <c r="T112" s="98"/>
      <c r="U112" s="98"/>
      <c r="V112" s="98"/>
      <c r="W112" s="98"/>
      <c r="X112" s="101">
        <f t="shared" si="3"/>
        <v>0.97199999999999998</v>
      </c>
      <c r="Y112" s="107">
        <v>28</v>
      </c>
      <c r="Z112" s="106" t="str">
        <f t="shared" ref="Z112:Z143" si="6">IF(X112&lt;&gt;"",IF(X112&lt;0.9,"S","F"),"")</f>
        <v>F</v>
      </c>
      <c r="AA112" s="107" t="s">
        <v>1397</v>
      </c>
      <c r="AB112" s="182" t="s">
        <v>1277</v>
      </c>
      <c r="AC112" s="292">
        <f>AVERAGE($Y$111:$Y$120)</f>
        <v>71.133333333333326</v>
      </c>
      <c r="AD112" s="292">
        <f>MEDIAN($Y$111:$Y$120)</f>
        <v>63</v>
      </c>
      <c r="AE112" s="292">
        <f>MAX($Y$111:$Y$120)</f>
        <v>137.66666666666666</v>
      </c>
      <c r="AF112" s="292">
        <f>MIN($Y$111:$Y$120)</f>
        <v>28</v>
      </c>
      <c r="AG112" s="292">
        <f>STDEV($Y$111:$Y$120)</f>
        <v>30.368193237231417</v>
      </c>
      <c r="AH112" s="292">
        <f>COUNT($Y$111:$Y$120)</f>
        <v>10</v>
      </c>
      <c r="AI112" s="174"/>
      <c r="AJ112" s="174"/>
      <c r="AK112" s="174"/>
      <c r="AL112" s="174"/>
    </row>
    <row r="113" spans="1:38" s="118" customFormat="1">
      <c r="A113" s="97"/>
      <c r="B113" s="258" t="s">
        <v>1276</v>
      </c>
      <c r="C113" s="259">
        <v>1989</v>
      </c>
      <c r="D113" s="101"/>
      <c r="E113" s="103" t="s">
        <v>49</v>
      </c>
      <c r="F113" s="98"/>
      <c r="G113" s="98"/>
      <c r="H113" s="98"/>
      <c r="I113" s="98"/>
      <c r="J113" s="302" t="s">
        <v>1013</v>
      </c>
      <c r="K113" s="302" t="s">
        <v>1002</v>
      </c>
      <c r="L113" s="181"/>
      <c r="M113" s="98"/>
      <c r="N113" s="98"/>
      <c r="O113" s="107" t="s">
        <v>1232</v>
      </c>
      <c r="P113" s="98"/>
      <c r="Q113" s="98"/>
      <c r="R113" s="107">
        <v>0.94899999999999995</v>
      </c>
      <c r="S113" s="98"/>
      <c r="T113" s="98"/>
      <c r="U113" s="98"/>
      <c r="V113" s="98"/>
      <c r="W113" s="98"/>
      <c r="X113" s="101">
        <f t="shared" si="3"/>
        <v>0.94899999999999995</v>
      </c>
      <c r="Y113" s="107">
        <v>50</v>
      </c>
      <c r="Z113" s="106" t="str">
        <f t="shared" si="6"/>
        <v>F</v>
      </c>
      <c r="AA113" s="107" t="s">
        <v>1397</v>
      </c>
      <c r="AB113" s="182" t="s">
        <v>1278</v>
      </c>
      <c r="AC113" s="101">
        <f>AVERAGE($Y$121:$Y$133)</f>
        <v>153.07692307692307</v>
      </c>
      <c r="AD113" s="101">
        <f>MEDIAN($Y$121:$Y$133)</f>
        <v>160</v>
      </c>
      <c r="AE113" s="101">
        <f>MAX($Y$121:$Y$133)</f>
        <v>198</v>
      </c>
      <c r="AF113" s="101">
        <f>MIN($Y$121:$Y$133)</f>
        <v>94</v>
      </c>
      <c r="AG113" s="101">
        <f>STDEV($Y$121:$Y$133)</f>
        <v>33.695849246016273</v>
      </c>
      <c r="AH113" s="101">
        <f>COUNT($Y$121:$Y$133)</f>
        <v>13</v>
      </c>
      <c r="AI113" s="174"/>
      <c r="AJ113" s="174"/>
      <c r="AK113" s="174"/>
      <c r="AL113" s="174"/>
    </row>
    <row r="114" spans="1:38" s="118" customFormat="1">
      <c r="A114" s="97"/>
      <c r="B114" s="258" t="s">
        <v>1276</v>
      </c>
      <c r="C114" s="259">
        <v>1989</v>
      </c>
      <c r="D114" s="101"/>
      <c r="E114" s="103" t="s">
        <v>49</v>
      </c>
      <c r="F114" s="98"/>
      <c r="G114" s="98"/>
      <c r="H114" s="98"/>
      <c r="I114" s="98"/>
      <c r="J114" s="302" t="s">
        <v>1013</v>
      </c>
      <c r="K114" s="302" t="s">
        <v>1002</v>
      </c>
      <c r="L114" s="181"/>
      <c r="M114" s="98"/>
      <c r="N114" s="98"/>
      <c r="O114" s="107" t="s">
        <v>1230</v>
      </c>
      <c r="P114" s="98"/>
      <c r="Q114" s="98"/>
      <c r="R114" s="107">
        <v>0.94</v>
      </c>
      <c r="S114" s="98"/>
      <c r="T114" s="98"/>
      <c r="U114" s="98"/>
      <c r="V114" s="98"/>
      <c r="W114" s="98"/>
      <c r="X114" s="101">
        <f t="shared" si="3"/>
        <v>0.94</v>
      </c>
      <c r="Y114" s="107">
        <v>56</v>
      </c>
      <c r="Z114" s="106" t="str">
        <f t="shared" si="6"/>
        <v>F</v>
      </c>
      <c r="AA114" s="107" t="s">
        <v>1397</v>
      </c>
      <c r="AB114" s="101"/>
      <c r="AC114" s="101"/>
      <c r="AD114" s="174"/>
      <c r="AE114" s="174"/>
      <c r="AF114" s="174"/>
      <c r="AG114" s="174"/>
      <c r="AH114" s="174"/>
      <c r="AI114" s="174"/>
      <c r="AJ114" s="174"/>
      <c r="AK114" s="174"/>
      <c r="AL114" s="174"/>
    </row>
    <row r="115" spans="1:38" s="118" customFormat="1">
      <c r="A115" s="97"/>
      <c r="B115" s="258" t="s">
        <v>1276</v>
      </c>
      <c r="C115" s="259">
        <v>1989</v>
      </c>
      <c r="D115" s="101"/>
      <c r="E115" s="103" t="s">
        <v>49</v>
      </c>
      <c r="F115" s="98"/>
      <c r="G115" s="98"/>
      <c r="H115" s="98"/>
      <c r="I115" s="98"/>
      <c r="J115" s="302" t="s">
        <v>1013</v>
      </c>
      <c r="K115" s="302" t="s">
        <v>1002</v>
      </c>
      <c r="L115" s="181"/>
      <c r="M115" s="98"/>
      <c r="N115" s="98"/>
      <c r="O115" s="107" t="s">
        <v>1234</v>
      </c>
      <c r="P115" s="98"/>
      <c r="Q115" s="98"/>
      <c r="R115" s="107">
        <v>0.93600000000000005</v>
      </c>
      <c r="S115" s="98"/>
      <c r="T115" s="98"/>
      <c r="U115" s="98"/>
      <c r="V115" s="98"/>
      <c r="W115" s="98"/>
      <c r="X115" s="101">
        <f t="shared" si="3"/>
        <v>0.93600000000000005</v>
      </c>
      <c r="Y115" s="107">
        <v>63</v>
      </c>
      <c r="Z115" s="106" t="str">
        <f t="shared" si="6"/>
        <v>F</v>
      </c>
      <c r="AA115" s="107" t="s">
        <v>1397</v>
      </c>
      <c r="AB115" s="101"/>
      <c r="AC115" s="101"/>
      <c r="AD115" s="174"/>
      <c r="AE115" s="174"/>
      <c r="AF115" s="174"/>
      <c r="AG115" s="174"/>
      <c r="AH115" s="174"/>
      <c r="AI115" s="174"/>
      <c r="AJ115" s="174"/>
      <c r="AK115" s="174"/>
      <c r="AL115" s="174"/>
    </row>
    <row r="116" spans="1:38" s="118" customFormat="1">
      <c r="A116" s="97"/>
      <c r="B116" s="258" t="s">
        <v>1276</v>
      </c>
      <c r="C116" s="259">
        <v>1989</v>
      </c>
      <c r="D116" s="101"/>
      <c r="E116" s="103" t="s">
        <v>49</v>
      </c>
      <c r="F116" s="98"/>
      <c r="G116" s="98"/>
      <c r="H116" s="98"/>
      <c r="I116" s="98"/>
      <c r="J116" s="302" t="s">
        <v>1013</v>
      </c>
      <c r="K116" s="302" t="s">
        <v>1002</v>
      </c>
      <c r="L116" s="181"/>
      <c r="M116" s="98"/>
      <c r="N116" s="98"/>
      <c r="O116" s="107" t="s">
        <v>1254</v>
      </c>
      <c r="P116" s="98"/>
      <c r="Q116" s="98"/>
      <c r="R116" s="107">
        <v>0.93500000000000005</v>
      </c>
      <c r="S116" s="98"/>
      <c r="T116" s="98"/>
      <c r="U116" s="98"/>
      <c r="V116" s="98"/>
      <c r="W116" s="98"/>
      <c r="X116" s="101">
        <f t="shared" si="3"/>
        <v>0.93500000000000005</v>
      </c>
      <c r="Y116" s="107">
        <v>63</v>
      </c>
      <c r="Z116" s="106" t="str">
        <f t="shared" si="6"/>
        <v>F</v>
      </c>
      <c r="AA116" s="107" t="s">
        <v>1397</v>
      </c>
      <c r="AB116" s="101"/>
      <c r="AC116" s="101"/>
      <c r="AD116" s="174"/>
      <c r="AE116" s="174"/>
      <c r="AF116" s="174"/>
      <c r="AG116" s="174"/>
      <c r="AH116" s="174"/>
      <c r="AI116" s="174"/>
      <c r="AJ116" s="174"/>
      <c r="AK116" s="174"/>
      <c r="AL116" s="174"/>
    </row>
    <row r="117" spans="1:38" s="118" customFormat="1">
      <c r="A117" s="97"/>
      <c r="B117" s="258" t="s">
        <v>1276</v>
      </c>
      <c r="C117" s="259">
        <v>1989</v>
      </c>
      <c r="D117" s="101"/>
      <c r="E117" s="103" t="s">
        <v>49</v>
      </c>
      <c r="F117" s="98"/>
      <c r="G117" s="98"/>
      <c r="H117" s="98"/>
      <c r="I117" s="98"/>
      <c r="J117" s="302" t="s">
        <v>1013</v>
      </c>
      <c r="K117" s="302" t="s">
        <v>1002</v>
      </c>
      <c r="L117" s="181"/>
      <c r="M117" s="98"/>
      <c r="N117" s="98"/>
      <c r="O117" s="107" t="s">
        <v>1235</v>
      </c>
      <c r="P117" s="98"/>
      <c r="Q117" s="98"/>
      <c r="R117" s="107">
        <v>0.93300000000000005</v>
      </c>
      <c r="S117" s="98"/>
      <c r="T117" s="98"/>
      <c r="U117" s="98"/>
      <c r="V117" s="98"/>
      <c r="W117" s="98"/>
      <c r="X117" s="101">
        <f t="shared" si="3"/>
        <v>0.93300000000000005</v>
      </c>
      <c r="Y117" s="107">
        <v>63</v>
      </c>
      <c r="Z117" s="106" t="str">
        <f t="shared" si="6"/>
        <v>F</v>
      </c>
      <c r="AA117" s="107" t="s">
        <v>1397</v>
      </c>
      <c r="AB117" s="101"/>
      <c r="AC117" s="101"/>
      <c r="AD117" s="174"/>
      <c r="AE117" s="174"/>
      <c r="AF117" s="174"/>
      <c r="AG117" s="174"/>
      <c r="AH117" s="174"/>
      <c r="AI117" s="174"/>
      <c r="AJ117" s="174"/>
      <c r="AK117" s="174"/>
      <c r="AL117" s="174"/>
    </row>
    <row r="118" spans="1:38" s="118" customFormat="1">
      <c r="A118" s="97"/>
      <c r="B118" s="258" t="s">
        <v>1276</v>
      </c>
      <c r="C118" s="259">
        <v>1989</v>
      </c>
      <c r="D118" s="101"/>
      <c r="E118" s="103" t="s">
        <v>49</v>
      </c>
      <c r="F118" s="98"/>
      <c r="G118" s="98"/>
      <c r="H118" s="98"/>
      <c r="I118" s="98"/>
      <c r="J118" s="302" t="s">
        <v>1013</v>
      </c>
      <c r="K118" s="302" t="s">
        <v>1002</v>
      </c>
      <c r="L118" s="181"/>
      <c r="M118" s="98"/>
      <c r="N118" s="98"/>
      <c r="O118" s="107" t="s">
        <v>1231</v>
      </c>
      <c r="P118" s="98"/>
      <c r="Q118" s="98"/>
      <c r="R118" s="107">
        <v>0.93</v>
      </c>
      <c r="S118" s="98"/>
      <c r="T118" s="98"/>
      <c r="U118" s="98"/>
      <c r="V118" s="98"/>
      <c r="W118" s="98"/>
      <c r="X118" s="101">
        <f t="shared" si="3"/>
        <v>0.93</v>
      </c>
      <c r="Y118" s="107">
        <v>66</v>
      </c>
      <c r="Z118" s="106" t="str">
        <f t="shared" si="6"/>
        <v>F</v>
      </c>
      <c r="AA118" s="107" t="s">
        <v>1397</v>
      </c>
      <c r="AB118" s="101"/>
      <c r="AC118" s="101"/>
      <c r="AD118" s="174"/>
      <c r="AE118" s="174"/>
      <c r="AF118" s="174"/>
      <c r="AG118" s="174"/>
      <c r="AH118" s="174"/>
      <c r="AI118" s="174"/>
      <c r="AJ118" s="174"/>
      <c r="AK118" s="174"/>
      <c r="AL118" s="174"/>
    </row>
    <row r="119" spans="1:38" s="118" customFormat="1">
      <c r="A119" s="101"/>
      <c r="B119" s="182" t="s">
        <v>968</v>
      </c>
      <c r="C119" s="132">
        <v>1996</v>
      </c>
      <c r="D119" s="101"/>
      <c r="E119" s="123" t="s">
        <v>172</v>
      </c>
      <c r="F119" s="101"/>
      <c r="G119" s="101"/>
      <c r="H119" s="182" t="s">
        <v>95</v>
      </c>
      <c r="I119" s="182"/>
      <c r="J119" s="101" t="s">
        <v>1013</v>
      </c>
      <c r="K119" s="182" t="s">
        <v>1002</v>
      </c>
      <c r="L119" s="182" t="s">
        <v>1002</v>
      </c>
      <c r="M119" s="182" t="s">
        <v>1003</v>
      </c>
      <c r="N119" s="182"/>
      <c r="O119" s="182" t="s">
        <v>1004</v>
      </c>
      <c r="P119" s="101"/>
      <c r="Q119" s="101"/>
      <c r="R119" s="101"/>
      <c r="S119" s="101"/>
      <c r="T119" s="101"/>
      <c r="U119" s="101">
        <v>0.9</v>
      </c>
      <c r="V119" s="101">
        <f>88*28/12/2</f>
        <v>102.66666666666667</v>
      </c>
      <c r="W119" s="101"/>
      <c r="X119" s="101">
        <f t="shared" si="3"/>
        <v>0.9</v>
      </c>
      <c r="Y119" s="304">
        <f>88*28/12/2</f>
        <v>102.66666666666667</v>
      </c>
      <c r="Z119" s="106" t="str">
        <f t="shared" si="6"/>
        <v>F</v>
      </c>
      <c r="AA119" s="107" t="s">
        <v>1397</v>
      </c>
      <c r="AB119" s="101"/>
      <c r="AC119" s="101"/>
      <c r="AD119" s="174"/>
      <c r="AE119" s="174"/>
      <c r="AF119" s="174"/>
      <c r="AG119" s="174"/>
      <c r="AH119" s="174"/>
      <c r="AI119" s="174"/>
      <c r="AJ119" s="174"/>
      <c r="AK119" s="174"/>
      <c r="AL119" s="174"/>
    </row>
    <row r="120" spans="1:38" s="118" customFormat="1">
      <c r="A120" s="97"/>
      <c r="B120" s="258" t="s">
        <v>1276</v>
      </c>
      <c r="C120" s="259">
        <v>1989</v>
      </c>
      <c r="D120" s="101"/>
      <c r="E120" s="103" t="s">
        <v>49</v>
      </c>
      <c r="F120" s="98"/>
      <c r="G120" s="98"/>
      <c r="H120" s="98"/>
      <c r="I120" s="98"/>
      <c r="J120" s="302" t="s">
        <v>1013</v>
      </c>
      <c r="K120" s="302" t="s">
        <v>1002</v>
      </c>
      <c r="L120" s="181"/>
      <c r="M120" s="98"/>
      <c r="N120" s="98"/>
      <c r="O120" s="107" t="s">
        <v>1229</v>
      </c>
      <c r="P120" s="98"/>
      <c r="Q120" s="98"/>
      <c r="R120" s="107">
        <v>0.9</v>
      </c>
      <c r="S120" s="98"/>
      <c r="T120" s="98"/>
      <c r="U120" s="98"/>
      <c r="V120" s="98"/>
      <c r="W120" s="98"/>
      <c r="X120" s="101">
        <f t="shared" si="3"/>
        <v>0.9</v>
      </c>
      <c r="Y120" s="107">
        <v>82</v>
      </c>
      <c r="Z120" s="106" t="str">
        <f t="shared" si="6"/>
        <v>F</v>
      </c>
      <c r="AA120" s="107" t="s">
        <v>1397</v>
      </c>
      <c r="AB120" s="101"/>
      <c r="AC120" s="101"/>
      <c r="AD120" s="174"/>
      <c r="AE120" s="174"/>
      <c r="AF120" s="174"/>
      <c r="AG120" s="174"/>
      <c r="AH120" s="174"/>
      <c r="AI120" s="174"/>
      <c r="AJ120" s="174"/>
      <c r="AK120" s="174"/>
      <c r="AL120" s="174"/>
    </row>
    <row r="121" spans="1:38" s="118" customFormat="1">
      <c r="A121" s="97"/>
      <c r="B121" s="258" t="s">
        <v>1276</v>
      </c>
      <c r="C121" s="259">
        <v>1989</v>
      </c>
      <c r="D121" s="101"/>
      <c r="E121" s="103" t="s">
        <v>49</v>
      </c>
      <c r="F121" s="98"/>
      <c r="G121" s="98"/>
      <c r="H121" s="98"/>
      <c r="I121" s="98"/>
      <c r="J121" s="302" t="s">
        <v>1013</v>
      </c>
      <c r="K121" s="302" t="s">
        <v>1002</v>
      </c>
      <c r="L121" s="181"/>
      <c r="M121" s="98"/>
      <c r="N121" s="98"/>
      <c r="O121" s="107" t="s">
        <v>1226</v>
      </c>
      <c r="P121" s="98"/>
      <c r="Q121" s="98"/>
      <c r="R121" s="107">
        <v>0.89</v>
      </c>
      <c r="S121" s="98"/>
      <c r="T121" s="98"/>
      <c r="U121" s="98"/>
      <c r="V121" s="98"/>
      <c r="W121" s="98"/>
      <c r="X121" s="101">
        <f t="shared" si="3"/>
        <v>0.89</v>
      </c>
      <c r="Y121" s="107">
        <v>112</v>
      </c>
      <c r="Z121" s="106" t="str">
        <f t="shared" si="6"/>
        <v>S</v>
      </c>
      <c r="AA121" s="107" t="s">
        <v>1397</v>
      </c>
      <c r="AB121" s="101"/>
      <c r="AC121" s="101"/>
      <c r="AD121" s="174"/>
      <c r="AE121" s="174"/>
      <c r="AF121" s="174"/>
      <c r="AG121" s="174"/>
      <c r="AH121" s="174"/>
      <c r="AI121" s="174"/>
      <c r="AJ121" s="174"/>
      <c r="AK121" s="174"/>
      <c r="AL121" s="174"/>
    </row>
    <row r="122" spans="1:38" s="118" customFormat="1">
      <c r="A122" s="97"/>
      <c r="B122" s="258" t="s">
        <v>1276</v>
      </c>
      <c r="C122" s="259">
        <v>1989</v>
      </c>
      <c r="D122" s="101"/>
      <c r="E122" s="103" t="s">
        <v>49</v>
      </c>
      <c r="F122" s="98"/>
      <c r="G122" s="98"/>
      <c r="H122" s="98"/>
      <c r="I122" s="98"/>
      <c r="J122" s="302" t="s">
        <v>1013</v>
      </c>
      <c r="K122" s="302" t="s">
        <v>1002</v>
      </c>
      <c r="L122" s="181"/>
      <c r="M122" s="98"/>
      <c r="N122" s="98"/>
      <c r="O122" s="107" t="s">
        <v>1228</v>
      </c>
      <c r="P122" s="98"/>
      <c r="Q122" s="98"/>
      <c r="R122" s="107">
        <v>0.89</v>
      </c>
      <c r="S122" s="98"/>
      <c r="T122" s="98"/>
      <c r="U122" s="98"/>
      <c r="V122" s="98"/>
      <c r="W122" s="98"/>
      <c r="X122" s="101">
        <f t="shared" si="3"/>
        <v>0.89</v>
      </c>
      <c r="Y122" s="107">
        <v>101</v>
      </c>
      <c r="Z122" s="106" t="str">
        <f t="shared" si="6"/>
        <v>S</v>
      </c>
      <c r="AA122" s="107" t="s">
        <v>1397</v>
      </c>
      <c r="AB122" s="101"/>
      <c r="AC122" s="101"/>
      <c r="AD122" s="174"/>
      <c r="AE122" s="174"/>
      <c r="AF122" s="174"/>
      <c r="AG122" s="174"/>
      <c r="AH122" s="174"/>
      <c r="AI122" s="174"/>
      <c r="AJ122" s="174"/>
      <c r="AK122" s="174"/>
      <c r="AL122" s="174"/>
    </row>
    <row r="123" spans="1:38" s="118" customFormat="1">
      <c r="A123" s="97"/>
      <c r="B123" s="258" t="s">
        <v>1276</v>
      </c>
      <c r="C123" s="259">
        <v>1989</v>
      </c>
      <c r="D123" s="101"/>
      <c r="E123" s="103" t="s">
        <v>49</v>
      </c>
      <c r="F123" s="98"/>
      <c r="G123" s="98"/>
      <c r="H123" s="98"/>
      <c r="I123" s="98"/>
      <c r="J123" s="302" t="s">
        <v>1013</v>
      </c>
      <c r="K123" s="302" t="s">
        <v>1002</v>
      </c>
      <c r="L123" s="181"/>
      <c r="M123" s="98"/>
      <c r="N123" s="98"/>
      <c r="O123" s="107" t="s">
        <v>1227</v>
      </c>
      <c r="P123" s="98"/>
      <c r="Q123" s="98"/>
      <c r="R123" s="107">
        <v>0.88</v>
      </c>
      <c r="S123" s="98"/>
      <c r="T123" s="98"/>
      <c r="U123" s="98"/>
      <c r="V123" s="98"/>
      <c r="W123" s="98"/>
      <c r="X123" s="101">
        <f t="shared" si="3"/>
        <v>0.88</v>
      </c>
      <c r="Y123" s="107">
        <v>94</v>
      </c>
      <c r="Z123" s="106" t="str">
        <f t="shared" si="6"/>
        <v>S</v>
      </c>
      <c r="AA123" s="107" t="s">
        <v>1397</v>
      </c>
      <c r="AB123" s="101"/>
      <c r="AC123" s="101"/>
      <c r="AD123" s="174"/>
      <c r="AE123" s="174"/>
      <c r="AF123" s="174"/>
      <c r="AG123" s="174"/>
      <c r="AH123" s="174"/>
      <c r="AI123" s="174"/>
      <c r="AJ123" s="174"/>
      <c r="AK123" s="174"/>
      <c r="AL123" s="174"/>
    </row>
    <row r="124" spans="1:38" s="118" customFormat="1">
      <c r="A124" s="97"/>
      <c r="B124" s="258" t="s">
        <v>1276</v>
      </c>
      <c r="C124" s="259">
        <v>1989</v>
      </c>
      <c r="D124" s="101"/>
      <c r="E124" s="103" t="s">
        <v>49</v>
      </c>
      <c r="F124" s="98"/>
      <c r="G124" s="98"/>
      <c r="H124" s="98"/>
      <c r="I124" s="98"/>
      <c r="J124" s="302" t="s">
        <v>1013</v>
      </c>
      <c r="K124" s="302" t="s">
        <v>1002</v>
      </c>
      <c r="L124" s="181"/>
      <c r="M124" s="98"/>
      <c r="N124" s="98"/>
      <c r="O124" s="107" t="s">
        <v>1250</v>
      </c>
      <c r="P124" s="98"/>
      <c r="Q124" s="98"/>
      <c r="R124" s="107">
        <v>0.85</v>
      </c>
      <c r="S124" s="98"/>
      <c r="T124" s="98"/>
      <c r="U124" s="98"/>
      <c r="V124" s="98"/>
      <c r="W124" s="98"/>
      <c r="X124" s="101">
        <f t="shared" si="3"/>
        <v>0.85</v>
      </c>
      <c r="Y124" s="107">
        <v>142</v>
      </c>
      <c r="Z124" s="106" t="str">
        <f t="shared" si="6"/>
        <v>S</v>
      </c>
      <c r="AA124" s="107" t="s">
        <v>1397</v>
      </c>
      <c r="AB124" s="101"/>
      <c r="AC124" s="101"/>
      <c r="AD124" s="174"/>
      <c r="AE124" s="174"/>
      <c r="AF124" s="174"/>
      <c r="AG124" s="174"/>
      <c r="AH124" s="174"/>
      <c r="AI124" s="174"/>
      <c r="AJ124" s="174"/>
      <c r="AK124" s="174"/>
      <c r="AL124" s="174"/>
    </row>
    <row r="125" spans="1:38" s="118" customFormat="1">
      <c r="A125" s="97"/>
      <c r="B125" s="258" t="s">
        <v>1276</v>
      </c>
      <c r="C125" s="259">
        <v>1989</v>
      </c>
      <c r="D125" s="101"/>
      <c r="E125" s="103" t="s">
        <v>49</v>
      </c>
      <c r="F125" s="98"/>
      <c r="G125" s="98"/>
      <c r="H125" s="98"/>
      <c r="I125" s="98"/>
      <c r="J125" s="302" t="s">
        <v>1013</v>
      </c>
      <c r="K125" s="302" t="s">
        <v>1002</v>
      </c>
      <c r="L125" s="181"/>
      <c r="M125" s="98"/>
      <c r="N125" s="98"/>
      <c r="O125" s="107" t="s">
        <v>1255</v>
      </c>
      <c r="P125" s="98"/>
      <c r="Q125" s="98"/>
      <c r="R125" s="107">
        <v>0.84599999999999997</v>
      </c>
      <c r="S125" s="98"/>
      <c r="T125" s="98"/>
      <c r="U125" s="98"/>
      <c r="V125" s="98"/>
      <c r="W125" s="98"/>
      <c r="X125" s="101">
        <f t="shared" si="3"/>
        <v>0.84599999999999997</v>
      </c>
      <c r="Y125" s="107">
        <v>151</v>
      </c>
      <c r="Z125" s="106" t="str">
        <f t="shared" si="6"/>
        <v>S</v>
      </c>
      <c r="AA125" s="107" t="s">
        <v>1397</v>
      </c>
      <c r="AB125" s="101"/>
      <c r="AC125" s="101"/>
      <c r="AD125" s="174"/>
      <c r="AE125" s="174"/>
      <c r="AF125" s="174"/>
      <c r="AG125" s="174"/>
      <c r="AH125" s="174"/>
      <c r="AI125" s="174"/>
      <c r="AJ125" s="174"/>
      <c r="AK125" s="174"/>
      <c r="AL125" s="174"/>
    </row>
    <row r="126" spans="1:38" s="118" customFormat="1">
      <c r="A126" s="97"/>
      <c r="B126" s="258" t="s">
        <v>1276</v>
      </c>
      <c r="C126" s="259">
        <v>1989</v>
      </c>
      <c r="D126" s="101"/>
      <c r="E126" s="103" t="s">
        <v>49</v>
      </c>
      <c r="F126" s="98"/>
      <c r="G126" s="98"/>
      <c r="H126" s="98"/>
      <c r="I126" s="98"/>
      <c r="J126" s="302" t="s">
        <v>1013</v>
      </c>
      <c r="K126" s="302" t="s">
        <v>1002</v>
      </c>
      <c r="L126" s="181"/>
      <c r="M126" s="98"/>
      <c r="N126" s="98"/>
      <c r="O126" s="107" t="s">
        <v>1252</v>
      </c>
      <c r="P126" s="98"/>
      <c r="Q126" s="98"/>
      <c r="R126" s="107">
        <v>0.84099999999999997</v>
      </c>
      <c r="S126" s="98"/>
      <c r="T126" s="98"/>
      <c r="U126" s="98"/>
      <c r="V126" s="98"/>
      <c r="W126" s="98"/>
      <c r="X126" s="101">
        <f t="shared" si="3"/>
        <v>0.84099999999999997</v>
      </c>
      <c r="Y126" s="107">
        <v>160</v>
      </c>
      <c r="Z126" s="106" t="str">
        <f t="shared" si="6"/>
        <v>S</v>
      </c>
      <c r="AA126" s="107" t="s">
        <v>1397</v>
      </c>
      <c r="AB126" s="101"/>
      <c r="AC126" s="101"/>
      <c r="AD126" s="174"/>
      <c r="AE126" s="174"/>
      <c r="AF126" s="174"/>
      <c r="AG126" s="174"/>
      <c r="AH126" s="174"/>
      <c r="AI126" s="174"/>
      <c r="AJ126" s="174"/>
      <c r="AK126" s="174"/>
      <c r="AL126" s="174"/>
    </row>
    <row r="127" spans="1:38" s="118" customFormat="1">
      <c r="A127" s="97"/>
      <c r="B127" s="258" t="s">
        <v>1276</v>
      </c>
      <c r="C127" s="259">
        <v>1989</v>
      </c>
      <c r="D127" s="101"/>
      <c r="E127" s="103" t="s">
        <v>49</v>
      </c>
      <c r="F127" s="98"/>
      <c r="G127" s="98"/>
      <c r="H127" s="98"/>
      <c r="I127" s="98"/>
      <c r="J127" s="302" t="s">
        <v>1013</v>
      </c>
      <c r="K127" s="302" t="s">
        <v>1002</v>
      </c>
      <c r="L127" s="181"/>
      <c r="M127" s="98"/>
      <c r="N127" s="98"/>
      <c r="O127" s="107" t="s">
        <v>1247</v>
      </c>
      <c r="P127" s="98"/>
      <c r="Q127" s="98"/>
      <c r="R127" s="107">
        <v>0.83</v>
      </c>
      <c r="S127" s="98"/>
      <c r="T127" s="98"/>
      <c r="U127" s="98"/>
      <c r="V127" s="98"/>
      <c r="W127" s="98"/>
      <c r="X127" s="101">
        <f t="shared" si="3"/>
        <v>0.83</v>
      </c>
      <c r="Y127" s="107">
        <v>169</v>
      </c>
      <c r="Z127" s="106" t="str">
        <f t="shared" si="6"/>
        <v>S</v>
      </c>
      <c r="AA127" s="107" t="s">
        <v>1397</v>
      </c>
      <c r="AB127" s="101"/>
      <c r="AC127" s="101"/>
      <c r="AD127" s="174"/>
      <c r="AE127" s="174"/>
      <c r="AF127" s="174"/>
      <c r="AG127" s="174"/>
      <c r="AH127" s="174"/>
      <c r="AI127" s="174"/>
      <c r="AJ127" s="174"/>
      <c r="AK127" s="174"/>
      <c r="AL127" s="174"/>
    </row>
    <row r="128" spans="1:38" s="118" customFormat="1">
      <c r="A128" s="97"/>
      <c r="B128" s="258" t="s">
        <v>1276</v>
      </c>
      <c r="C128" s="259">
        <v>1989</v>
      </c>
      <c r="D128" s="101"/>
      <c r="E128" s="103" t="s">
        <v>49</v>
      </c>
      <c r="F128" s="98"/>
      <c r="G128" s="98"/>
      <c r="H128" s="98"/>
      <c r="I128" s="98"/>
      <c r="J128" s="302" t="s">
        <v>1013</v>
      </c>
      <c r="K128" s="302" t="s">
        <v>1002</v>
      </c>
      <c r="L128" s="181"/>
      <c r="M128" s="98"/>
      <c r="N128" s="98"/>
      <c r="O128" s="107" t="s">
        <v>1253</v>
      </c>
      <c r="P128" s="98"/>
      <c r="Q128" s="98"/>
      <c r="R128" s="107">
        <v>0.82199999999999995</v>
      </c>
      <c r="S128" s="98"/>
      <c r="T128" s="98"/>
      <c r="U128" s="98"/>
      <c r="V128" s="98"/>
      <c r="W128" s="98"/>
      <c r="X128" s="101">
        <f t="shared" si="3"/>
        <v>0.82199999999999995</v>
      </c>
      <c r="Y128" s="107">
        <v>176</v>
      </c>
      <c r="Z128" s="106" t="str">
        <f t="shared" si="6"/>
        <v>S</v>
      </c>
      <c r="AA128" s="107" t="s">
        <v>1397</v>
      </c>
      <c r="AB128" s="101"/>
      <c r="AC128" s="101"/>
      <c r="AD128" s="174"/>
      <c r="AE128" s="174"/>
      <c r="AF128" s="174"/>
      <c r="AG128" s="174"/>
      <c r="AH128" s="174"/>
      <c r="AI128" s="174"/>
      <c r="AJ128" s="174"/>
      <c r="AK128" s="174"/>
      <c r="AL128" s="174"/>
    </row>
    <row r="129" spans="1:38" s="118" customFormat="1">
      <c r="A129" s="97"/>
      <c r="B129" s="258" t="s">
        <v>1276</v>
      </c>
      <c r="C129" s="259">
        <v>1989</v>
      </c>
      <c r="D129" s="101"/>
      <c r="E129" s="103" t="s">
        <v>49</v>
      </c>
      <c r="F129" s="98"/>
      <c r="G129" s="98"/>
      <c r="H129" s="98"/>
      <c r="I129" s="98"/>
      <c r="J129" s="302" t="s">
        <v>1013</v>
      </c>
      <c r="K129" s="302" t="s">
        <v>1002</v>
      </c>
      <c r="L129" s="181"/>
      <c r="M129" s="98"/>
      <c r="N129" s="98"/>
      <c r="O129" s="107" t="s">
        <v>1249</v>
      </c>
      <c r="P129" s="98"/>
      <c r="Q129" s="98"/>
      <c r="R129" s="107">
        <v>0.81599999999999995</v>
      </c>
      <c r="S129" s="98"/>
      <c r="T129" s="98"/>
      <c r="U129" s="98"/>
      <c r="V129" s="98"/>
      <c r="W129" s="98"/>
      <c r="X129" s="101">
        <f t="shared" si="3"/>
        <v>0.81599999999999995</v>
      </c>
      <c r="Y129" s="107">
        <v>179</v>
      </c>
      <c r="Z129" s="106" t="str">
        <f t="shared" si="6"/>
        <v>S</v>
      </c>
      <c r="AA129" s="107" t="s">
        <v>1397</v>
      </c>
      <c r="AB129" s="101"/>
      <c r="AC129" s="101"/>
      <c r="AD129" s="174"/>
      <c r="AE129" s="174"/>
      <c r="AF129" s="174"/>
      <c r="AG129" s="174"/>
      <c r="AH129" s="174"/>
      <c r="AI129" s="174"/>
      <c r="AJ129" s="174"/>
      <c r="AK129" s="174"/>
      <c r="AL129" s="174"/>
    </row>
    <row r="130" spans="1:38" s="118" customFormat="1">
      <c r="A130" s="97"/>
      <c r="B130" s="258" t="s">
        <v>1276</v>
      </c>
      <c r="C130" s="259">
        <v>1989</v>
      </c>
      <c r="D130" s="101"/>
      <c r="E130" s="103" t="s">
        <v>49</v>
      </c>
      <c r="F130" s="98"/>
      <c r="G130" s="98"/>
      <c r="H130" s="98"/>
      <c r="I130" s="98"/>
      <c r="J130" s="302" t="s">
        <v>1013</v>
      </c>
      <c r="K130" s="302" t="s">
        <v>1002</v>
      </c>
      <c r="L130" s="181"/>
      <c r="M130" s="98"/>
      <c r="N130" s="98"/>
      <c r="O130" s="107" t="s">
        <v>1240</v>
      </c>
      <c r="P130" s="98"/>
      <c r="Q130" s="98"/>
      <c r="R130" s="107">
        <v>0.81399999999999995</v>
      </c>
      <c r="S130" s="98"/>
      <c r="T130" s="98"/>
      <c r="U130" s="98"/>
      <c r="V130" s="98"/>
      <c r="W130" s="98"/>
      <c r="X130" s="101">
        <f t="shared" ref="X130:X193" si="7">IF(R130&lt;&gt;0,IF(R130&gt;1,R130/100,R130),IF(U130&lt;&gt;0,IF(U130&gt;1,U130/100,U130),""))</f>
        <v>0.81399999999999995</v>
      </c>
      <c r="Y130" s="107">
        <v>140</v>
      </c>
      <c r="Z130" s="106" t="str">
        <f t="shared" si="6"/>
        <v>S</v>
      </c>
      <c r="AA130" s="107" t="s">
        <v>1397</v>
      </c>
      <c r="AB130" s="101"/>
      <c r="AC130" s="101"/>
      <c r="AD130" s="174"/>
      <c r="AE130" s="174"/>
      <c r="AF130" s="174"/>
      <c r="AG130" s="174"/>
      <c r="AH130" s="174"/>
      <c r="AI130" s="174"/>
      <c r="AJ130" s="174"/>
      <c r="AK130" s="174"/>
      <c r="AL130" s="174"/>
    </row>
    <row r="131" spans="1:38" s="118" customFormat="1">
      <c r="A131" s="97"/>
      <c r="B131" s="258" t="s">
        <v>1276</v>
      </c>
      <c r="C131" s="259">
        <v>1989</v>
      </c>
      <c r="D131" s="101"/>
      <c r="E131" s="103" t="s">
        <v>49</v>
      </c>
      <c r="F131" s="98"/>
      <c r="G131" s="98"/>
      <c r="H131" s="98"/>
      <c r="I131" s="98"/>
      <c r="J131" s="302" t="s">
        <v>1013</v>
      </c>
      <c r="K131" s="302" t="s">
        <v>1002</v>
      </c>
      <c r="L131" s="181"/>
      <c r="M131" s="98"/>
      <c r="N131" s="98"/>
      <c r="O131" s="107" t="s">
        <v>1248</v>
      </c>
      <c r="P131" s="98"/>
      <c r="Q131" s="98"/>
      <c r="R131" s="107">
        <v>0.81299999999999994</v>
      </c>
      <c r="S131" s="98"/>
      <c r="T131" s="98"/>
      <c r="U131" s="98"/>
      <c r="V131" s="98"/>
      <c r="W131" s="98"/>
      <c r="X131" s="101">
        <f t="shared" si="7"/>
        <v>0.81299999999999994</v>
      </c>
      <c r="Y131" s="107">
        <v>182</v>
      </c>
      <c r="Z131" s="106" t="str">
        <f t="shared" si="6"/>
        <v>S</v>
      </c>
      <c r="AA131" s="107" t="s">
        <v>1397</v>
      </c>
      <c r="AB131" s="101"/>
      <c r="AC131" s="101"/>
      <c r="AD131" s="174"/>
      <c r="AE131" s="174"/>
      <c r="AF131" s="174"/>
      <c r="AG131" s="174"/>
      <c r="AH131" s="174"/>
      <c r="AI131" s="174"/>
      <c r="AJ131" s="174"/>
      <c r="AK131" s="174"/>
      <c r="AL131" s="174"/>
    </row>
    <row r="132" spans="1:38" s="118" customFormat="1">
      <c r="A132" s="97"/>
      <c r="B132" s="258" t="s">
        <v>1276</v>
      </c>
      <c r="C132" s="259">
        <v>1989</v>
      </c>
      <c r="D132" s="101"/>
      <c r="E132" s="103" t="s">
        <v>49</v>
      </c>
      <c r="F132" s="98"/>
      <c r="G132" s="98"/>
      <c r="H132" s="98"/>
      <c r="I132" s="98"/>
      <c r="J132" s="302" t="s">
        <v>1013</v>
      </c>
      <c r="K132" s="302" t="s">
        <v>1002</v>
      </c>
      <c r="L132" s="181"/>
      <c r="M132" s="98"/>
      <c r="N132" s="98"/>
      <c r="O132" s="107" t="s">
        <v>1251</v>
      </c>
      <c r="P132" s="98"/>
      <c r="Q132" s="98"/>
      <c r="R132" s="107">
        <v>0.80500000000000005</v>
      </c>
      <c r="S132" s="98"/>
      <c r="T132" s="98"/>
      <c r="U132" s="98"/>
      <c r="V132" s="98"/>
      <c r="W132" s="98"/>
      <c r="X132" s="101">
        <f t="shared" si="7"/>
        <v>0.80500000000000005</v>
      </c>
      <c r="Y132" s="107">
        <v>186</v>
      </c>
      <c r="Z132" s="106" t="str">
        <f t="shared" si="6"/>
        <v>S</v>
      </c>
      <c r="AA132" s="107" t="s">
        <v>1397</v>
      </c>
      <c r="AB132" s="101"/>
      <c r="AC132" s="101"/>
      <c r="AD132" s="174"/>
      <c r="AE132" s="174"/>
      <c r="AF132" s="174"/>
      <c r="AG132" s="174"/>
      <c r="AH132" s="174"/>
      <c r="AI132" s="174"/>
      <c r="AJ132" s="174"/>
      <c r="AK132" s="174"/>
      <c r="AL132" s="174"/>
    </row>
    <row r="133" spans="1:38" s="118" customFormat="1">
      <c r="A133" s="97"/>
      <c r="B133" s="258" t="s">
        <v>1276</v>
      </c>
      <c r="C133" s="259">
        <v>1989</v>
      </c>
      <c r="D133" s="101"/>
      <c r="E133" s="103" t="s">
        <v>49</v>
      </c>
      <c r="F133" s="98"/>
      <c r="G133" s="98"/>
      <c r="H133" s="98"/>
      <c r="I133" s="98"/>
      <c r="J133" s="302" t="s">
        <v>1013</v>
      </c>
      <c r="K133" s="302" t="s">
        <v>1002</v>
      </c>
      <c r="L133" s="181"/>
      <c r="M133" s="98"/>
      <c r="N133" s="98"/>
      <c r="O133" s="107" t="s">
        <v>1236</v>
      </c>
      <c r="P133" s="98"/>
      <c r="Q133" s="98"/>
      <c r="R133" s="107">
        <v>0.8</v>
      </c>
      <c r="S133" s="98"/>
      <c r="T133" s="98"/>
      <c r="U133" s="98"/>
      <c r="V133" s="98"/>
      <c r="W133" s="98"/>
      <c r="X133" s="101">
        <f t="shared" si="7"/>
        <v>0.8</v>
      </c>
      <c r="Y133" s="107">
        <v>198</v>
      </c>
      <c r="Z133" s="106" t="str">
        <f t="shared" si="6"/>
        <v>S</v>
      </c>
      <c r="AA133" s="107" t="s">
        <v>1397</v>
      </c>
      <c r="AB133" s="101"/>
      <c r="AC133" s="101"/>
      <c r="AD133" s="174"/>
      <c r="AE133" s="174"/>
      <c r="AF133" s="174"/>
      <c r="AG133" s="174"/>
      <c r="AH133" s="174"/>
      <c r="AI133" s="174"/>
      <c r="AJ133" s="174"/>
      <c r="AK133" s="174"/>
      <c r="AL133" s="174"/>
    </row>
    <row r="134" spans="1:38" s="118" customFormat="1">
      <c r="A134" s="97"/>
      <c r="B134" s="258" t="s">
        <v>1276</v>
      </c>
      <c r="C134" s="259">
        <v>1989</v>
      </c>
      <c r="D134" s="101"/>
      <c r="E134" s="103" t="s">
        <v>49</v>
      </c>
      <c r="F134" s="98"/>
      <c r="G134" s="98"/>
      <c r="H134" s="98"/>
      <c r="I134" s="98"/>
      <c r="J134" s="302" t="s">
        <v>1013</v>
      </c>
      <c r="K134" s="302" t="s">
        <v>1002</v>
      </c>
      <c r="L134" s="181"/>
      <c r="M134" s="98"/>
      <c r="N134" s="98"/>
      <c r="O134" s="107" t="s">
        <v>1241</v>
      </c>
      <c r="P134" s="98"/>
      <c r="Q134" s="98"/>
      <c r="R134" s="107">
        <v>0.79400000000000004</v>
      </c>
      <c r="S134" s="98"/>
      <c r="T134" s="98"/>
      <c r="U134" s="98"/>
      <c r="V134" s="98"/>
      <c r="W134" s="98"/>
      <c r="X134" s="101">
        <f t="shared" si="7"/>
        <v>0.79400000000000004</v>
      </c>
      <c r="Y134" s="107">
        <v>197</v>
      </c>
      <c r="Z134" s="106" t="str">
        <f t="shared" si="6"/>
        <v>S</v>
      </c>
      <c r="AA134" s="107" t="s">
        <v>1397</v>
      </c>
      <c r="AB134" s="101"/>
      <c r="AC134" s="101"/>
      <c r="AD134" s="174"/>
      <c r="AE134" s="174"/>
      <c r="AF134" s="174"/>
      <c r="AG134" s="174"/>
      <c r="AH134" s="174"/>
      <c r="AI134" s="174"/>
      <c r="AJ134" s="174"/>
      <c r="AK134" s="174"/>
      <c r="AL134" s="174"/>
    </row>
    <row r="135" spans="1:38" s="118" customFormat="1">
      <c r="A135" s="97"/>
      <c r="B135" s="258" t="s">
        <v>1276</v>
      </c>
      <c r="C135" s="259">
        <v>1989</v>
      </c>
      <c r="D135" s="101"/>
      <c r="E135" s="103" t="s">
        <v>49</v>
      </c>
      <c r="F135" s="98"/>
      <c r="G135" s="98"/>
      <c r="H135" s="98"/>
      <c r="I135" s="98"/>
      <c r="J135" s="302" t="s">
        <v>1013</v>
      </c>
      <c r="K135" s="302" t="s">
        <v>1002</v>
      </c>
      <c r="L135" s="181"/>
      <c r="M135" s="98"/>
      <c r="N135" s="98"/>
      <c r="O135" s="107" t="s">
        <v>1243</v>
      </c>
      <c r="P135" s="98"/>
      <c r="Q135" s="98"/>
      <c r="R135" s="107">
        <v>0.78900000000000003</v>
      </c>
      <c r="S135" s="98"/>
      <c r="T135" s="98"/>
      <c r="U135" s="98"/>
      <c r="V135" s="98"/>
      <c r="W135" s="98"/>
      <c r="X135" s="101">
        <f t="shared" si="7"/>
        <v>0.78900000000000003</v>
      </c>
      <c r="Y135" s="107">
        <v>214</v>
      </c>
      <c r="Z135" s="106" t="str">
        <f t="shared" si="6"/>
        <v>S</v>
      </c>
      <c r="AA135" s="107" t="s">
        <v>1397</v>
      </c>
      <c r="AB135" s="101"/>
      <c r="AC135" s="101"/>
      <c r="AD135" s="174"/>
      <c r="AE135" s="174"/>
      <c r="AF135" s="174"/>
      <c r="AG135" s="174"/>
      <c r="AH135" s="174"/>
      <c r="AI135" s="174"/>
      <c r="AJ135" s="174"/>
      <c r="AK135" s="174"/>
      <c r="AL135" s="174"/>
    </row>
    <row r="136" spans="1:38" s="118" customFormat="1">
      <c r="A136" s="97"/>
      <c r="B136" s="258" t="s">
        <v>1276</v>
      </c>
      <c r="C136" s="259">
        <v>1989</v>
      </c>
      <c r="D136" s="101"/>
      <c r="E136" s="103" t="s">
        <v>49</v>
      </c>
      <c r="F136" s="98"/>
      <c r="G136" s="98"/>
      <c r="H136" s="98"/>
      <c r="I136" s="98"/>
      <c r="J136" s="302" t="s">
        <v>1013</v>
      </c>
      <c r="K136" s="302" t="s">
        <v>1002</v>
      </c>
      <c r="L136" s="181"/>
      <c r="M136" s="98"/>
      <c r="N136" s="98"/>
      <c r="O136" s="107" t="s">
        <v>1238</v>
      </c>
      <c r="P136" s="98"/>
      <c r="Q136" s="98"/>
      <c r="R136" s="107">
        <v>0.78400000000000003</v>
      </c>
      <c r="S136" s="98"/>
      <c r="T136" s="98"/>
      <c r="U136" s="98"/>
      <c r="V136" s="98"/>
      <c r="W136" s="98"/>
      <c r="X136" s="101">
        <f t="shared" si="7"/>
        <v>0.78400000000000003</v>
      </c>
      <c r="Y136" s="107">
        <v>211</v>
      </c>
      <c r="Z136" s="106" t="str">
        <f t="shared" si="6"/>
        <v>S</v>
      </c>
      <c r="AA136" s="107" t="s">
        <v>1397</v>
      </c>
      <c r="AB136" s="101"/>
      <c r="AC136" s="101"/>
      <c r="AD136" s="174"/>
      <c r="AE136" s="174"/>
      <c r="AF136" s="174"/>
      <c r="AG136" s="174"/>
      <c r="AH136" s="174"/>
      <c r="AI136" s="174"/>
      <c r="AJ136" s="174"/>
      <c r="AK136" s="174"/>
      <c r="AL136" s="174"/>
    </row>
    <row r="137" spans="1:38" s="118" customFormat="1">
      <c r="A137" s="97"/>
      <c r="B137" s="258" t="s">
        <v>1276</v>
      </c>
      <c r="C137" s="259">
        <v>1989</v>
      </c>
      <c r="D137" s="101"/>
      <c r="E137" s="103" t="s">
        <v>49</v>
      </c>
      <c r="F137" s="98"/>
      <c r="G137" s="98"/>
      <c r="H137" s="98"/>
      <c r="I137" s="98"/>
      <c r="J137" s="302" t="s">
        <v>1013</v>
      </c>
      <c r="K137" s="302" t="s">
        <v>1002</v>
      </c>
      <c r="L137" s="181"/>
      <c r="M137" s="98"/>
      <c r="N137" s="98"/>
      <c r="O137" s="107" t="s">
        <v>1244</v>
      </c>
      <c r="P137" s="98"/>
      <c r="Q137" s="98"/>
      <c r="R137" s="107">
        <v>0.77500000000000002</v>
      </c>
      <c r="S137" s="98"/>
      <c r="T137" s="98"/>
      <c r="U137" s="98"/>
      <c r="V137" s="98"/>
      <c r="W137" s="98"/>
      <c r="X137" s="101">
        <f t="shared" si="7"/>
        <v>0.77500000000000002</v>
      </c>
      <c r="Y137" s="107">
        <v>222</v>
      </c>
      <c r="Z137" s="106" t="str">
        <f t="shared" si="6"/>
        <v>S</v>
      </c>
      <c r="AA137" s="107" t="s">
        <v>1397</v>
      </c>
      <c r="AB137" s="101"/>
      <c r="AC137" s="101"/>
      <c r="AD137" s="174"/>
      <c r="AE137" s="174"/>
      <c r="AF137" s="174"/>
      <c r="AG137" s="174"/>
      <c r="AH137" s="174"/>
      <c r="AI137" s="174"/>
      <c r="AJ137" s="174"/>
      <c r="AK137" s="174"/>
      <c r="AL137" s="174"/>
    </row>
    <row r="138" spans="1:38" s="118" customFormat="1">
      <c r="A138" s="97"/>
      <c r="B138" s="258" t="s">
        <v>1276</v>
      </c>
      <c r="C138" s="259">
        <v>1989</v>
      </c>
      <c r="D138" s="101"/>
      <c r="E138" s="103" t="s">
        <v>49</v>
      </c>
      <c r="F138" s="98"/>
      <c r="G138" s="98"/>
      <c r="H138" s="98"/>
      <c r="I138" s="98"/>
      <c r="J138" s="302" t="s">
        <v>1013</v>
      </c>
      <c r="K138" s="302" t="s">
        <v>1002</v>
      </c>
      <c r="L138" s="181"/>
      <c r="M138" s="98"/>
      <c r="N138" s="98"/>
      <c r="O138" s="107" t="s">
        <v>1242</v>
      </c>
      <c r="P138" s="98"/>
      <c r="Q138" s="98"/>
      <c r="R138" s="107">
        <v>0.77500000000000002</v>
      </c>
      <c r="S138" s="98"/>
      <c r="T138" s="98"/>
      <c r="U138" s="98"/>
      <c r="V138" s="98"/>
      <c r="W138" s="98"/>
      <c r="X138" s="101">
        <f t="shared" si="7"/>
        <v>0.77500000000000002</v>
      </c>
      <c r="Y138" s="107">
        <v>215</v>
      </c>
      <c r="Z138" s="106" t="str">
        <f t="shared" si="6"/>
        <v>S</v>
      </c>
      <c r="AA138" s="107" t="s">
        <v>1397</v>
      </c>
      <c r="AB138" s="101"/>
      <c r="AC138" s="101"/>
      <c r="AD138" s="174"/>
      <c r="AE138" s="174"/>
      <c r="AF138" s="174"/>
      <c r="AG138" s="174"/>
      <c r="AH138" s="174"/>
      <c r="AI138" s="174"/>
      <c r="AJ138" s="174"/>
      <c r="AK138" s="174"/>
      <c r="AL138" s="174"/>
    </row>
    <row r="139" spans="1:38" s="107" customFormat="1">
      <c r="A139" s="97"/>
      <c r="B139" s="258" t="s">
        <v>1276</v>
      </c>
      <c r="C139" s="259">
        <v>1989</v>
      </c>
      <c r="D139" s="101"/>
      <c r="E139" s="103" t="s">
        <v>49</v>
      </c>
      <c r="F139" s="98"/>
      <c r="G139" s="98"/>
      <c r="H139" s="98"/>
      <c r="I139" s="98"/>
      <c r="J139" s="302" t="s">
        <v>1013</v>
      </c>
      <c r="K139" s="302" t="s">
        <v>1002</v>
      </c>
      <c r="L139" s="181"/>
      <c r="M139" s="98"/>
      <c r="N139" s="98"/>
      <c r="O139" s="107" t="s">
        <v>1237</v>
      </c>
      <c r="P139" s="98"/>
      <c r="Q139" s="98"/>
      <c r="R139" s="107">
        <v>0.77</v>
      </c>
      <c r="S139" s="98"/>
      <c r="T139" s="98"/>
      <c r="U139" s="98"/>
      <c r="V139" s="98"/>
      <c r="W139" s="98"/>
      <c r="X139" s="101">
        <f t="shared" si="7"/>
        <v>0.77</v>
      </c>
      <c r="Y139" s="107">
        <v>231</v>
      </c>
      <c r="Z139" s="106" t="str">
        <f t="shared" si="6"/>
        <v>S</v>
      </c>
      <c r="AA139" s="107" t="s">
        <v>1397</v>
      </c>
      <c r="AB139" s="101"/>
      <c r="AC139" s="101"/>
      <c r="AD139" s="174"/>
      <c r="AE139" s="174"/>
      <c r="AF139" s="174"/>
      <c r="AG139" s="174"/>
      <c r="AH139" s="174"/>
      <c r="AI139" s="174"/>
      <c r="AJ139" s="174"/>
      <c r="AK139" s="174"/>
      <c r="AL139" s="174"/>
    </row>
    <row r="140" spans="1:38" s="107" customFormat="1">
      <c r="A140" s="97"/>
      <c r="B140" s="258" t="s">
        <v>1276</v>
      </c>
      <c r="C140" s="259">
        <v>1989</v>
      </c>
      <c r="D140" s="101"/>
      <c r="E140" s="103" t="s">
        <v>49</v>
      </c>
      <c r="F140" s="98"/>
      <c r="G140" s="98"/>
      <c r="H140" s="98"/>
      <c r="I140" s="98"/>
      <c r="J140" s="302" t="s">
        <v>1013</v>
      </c>
      <c r="K140" s="302" t="s">
        <v>1002</v>
      </c>
      <c r="L140" s="181"/>
      <c r="M140" s="98"/>
      <c r="N140" s="98"/>
      <c r="O140" s="107" t="s">
        <v>1245</v>
      </c>
      <c r="P140" s="98"/>
      <c r="Q140" s="98"/>
      <c r="R140" s="107">
        <v>0.73</v>
      </c>
      <c r="S140" s="98"/>
      <c r="T140" s="98"/>
      <c r="U140" s="98"/>
      <c r="V140" s="98"/>
      <c r="W140" s="98"/>
      <c r="X140" s="101">
        <f t="shared" si="7"/>
        <v>0.73</v>
      </c>
      <c r="Y140" s="107">
        <v>289</v>
      </c>
      <c r="Z140" s="106" t="str">
        <f t="shared" si="6"/>
        <v>S</v>
      </c>
      <c r="AA140" s="107" t="s">
        <v>1397</v>
      </c>
      <c r="AB140" s="101"/>
      <c r="AC140" s="101"/>
      <c r="AD140" s="174"/>
      <c r="AE140" s="174"/>
      <c r="AF140" s="174"/>
      <c r="AG140" s="174"/>
      <c r="AH140" s="174"/>
      <c r="AI140" s="174"/>
      <c r="AJ140" s="174"/>
      <c r="AK140" s="174"/>
      <c r="AL140" s="174"/>
    </row>
    <row r="141" spans="1:38" s="107" customFormat="1">
      <c r="A141" s="97"/>
      <c r="B141" s="258" t="s">
        <v>1276</v>
      </c>
      <c r="C141" s="259">
        <v>1989</v>
      </c>
      <c r="D141" s="101"/>
      <c r="E141" s="103" t="s">
        <v>49</v>
      </c>
      <c r="F141" s="98"/>
      <c r="G141" s="98"/>
      <c r="H141" s="98"/>
      <c r="I141" s="98"/>
      <c r="J141" s="302" t="s">
        <v>1013</v>
      </c>
      <c r="K141" s="302" t="s">
        <v>1002</v>
      </c>
      <c r="L141" s="181"/>
      <c r="M141" s="98"/>
      <c r="N141" s="98"/>
      <c r="O141" s="107" t="s">
        <v>1246</v>
      </c>
      <c r="P141" s="98"/>
      <c r="Q141" s="98"/>
      <c r="R141" s="107">
        <v>0.72899999999999998</v>
      </c>
      <c r="S141" s="98"/>
      <c r="T141" s="98"/>
      <c r="U141" s="98"/>
      <c r="V141" s="98"/>
      <c r="W141" s="98"/>
      <c r="X141" s="101">
        <f t="shared" si="7"/>
        <v>0.72899999999999998</v>
      </c>
      <c r="Y141" s="107">
        <v>271</v>
      </c>
      <c r="Z141" s="106" t="str">
        <f t="shared" si="6"/>
        <v>S</v>
      </c>
      <c r="AA141" s="107" t="s">
        <v>1397</v>
      </c>
      <c r="AB141" s="101"/>
      <c r="AC141" s="101"/>
      <c r="AD141" s="174"/>
      <c r="AE141" s="174"/>
      <c r="AF141" s="174"/>
      <c r="AG141" s="174"/>
      <c r="AH141" s="174"/>
      <c r="AI141" s="174"/>
      <c r="AJ141" s="174"/>
      <c r="AK141" s="174"/>
      <c r="AL141" s="174"/>
    </row>
    <row r="142" spans="1:38" s="107" customFormat="1">
      <c r="A142" s="97"/>
      <c r="B142" s="258" t="s">
        <v>1276</v>
      </c>
      <c r="C142" s="259">
        <v>1989</v>
      </c>
      <c r="D142" s="101"/>
      <c r="E142" s="103" t="s">
        <v>49</v>
      </c>
      <c r="F142" s="98"/>
      <c r="G142" s="98"/>
      <c r="H142" s="98"/>
      <c r="I142" s="98"/>
      <c r="J142" s="302" t="s">
        <v>1013</v>
      </c>
      <c r="K142" s="302" t="s">
        <v>1002</v>
      </c>
      <c r="L142" s="181"/>
      <c r="M142" s="98"/>
      <c r="N142" s="98"/>
      <c r="O142" s="107" t="s">
        <v>1239</v>
      </c>
      <c r="P142" s="98"/>
      <c r="Q142" s="98"/>
      <c r="R142" s="107">
        <v>0.64300000000000002</v>
      </c>
      <c r="S142" s="98"/>
      <c r="T142" s="98"/>
      <c r="U142" s="98"/>
      <c r="V142" s="98"/>
      <c r="W142" s="98"/>
      <c r="X142" s="101">
        <f t="shared" si="7"/>
        <v>0.64300000000000002</v>
      </c>
      <c r="Y142" s="107">
        <v>358</v>
      </c>
      <c r="Z142" s="106" t="str">
        <f t="shared" si="6"/>
        <v>S</v>
      </c>
      <c r="AA142" s="107" t="s">
        <v>1397</v>
      </c>
      <c r="AB142" s="101"/>
      <c r="AC142" s="101"/>
      <c r="AD142" s="174"/>
      <c r="AE142" s="174"/>
      <c r="AF142" s="174"/>
      <c r="AG142" s="174"/>
      <c r="AH142" s="174"/>
      <c r="AI142" s="174"/>
      <c r="AJ142" s="174"/>
      <c r="AK142" s="174"/>
      <c r="AL142" s="174"/>
    </row>
    <row r="143" spans="1:38" s="45" customFormat="1">
      <c r="A143" s="53"/>
      <c r="B143" s="290" t="s">
        <v>1276</v>
      </c>
      <c r="C143" s="291">
        <v>1989</v>
      </c>
      <c r="D143" s="66"/>
      <c r="E143" s="60" t="s">
        <v>49</v>
      </c>
      <c r="F143" s="54"/>
      <c r="G143" s="54"/>
      <c r="H143" s="54"/>
      <c r="I143" s="54"/>
      <c r="J143" s="257" t="s">
        <v>1013</v>
      </c>
      <c r="K143" s="257" t="s">
        <v>1257</v>
      </c>
      <c r="O143" t="s">
        <v>1268</v>
      </c>
      <c r="R143">
        <v>0.95099999999999996</v>
      </c>
      <c r="S143"/>
      <c r="U143" s="54"/>
      <c r="V143" s="54"/>
      <c r="W143" s="54"/>
      <c r="X143" s="66">
        <f t="shared" si="7"/>
        <v>0.95099999999999996</v>
      </c>
      <c r="Y143">
        <v>20</v>
      </c>
      <c r="Z143" s="192" t="str">
        <f t="shared" si="6"/>
        <v>F</v>
      </c>
      <c r="AA143" s="66" t="s">
        <v>1397</v>
      </c>
      <c r="AB143" s="257" t="s">
        <v>1392</v>
      </c>
      <c r="AC143" s="66">
        <f>AVERAGE($Y$143:$Y$151)</f>
        <v>87.888888888888886</v>
      </c>
      <c r="AD143" s="66">
        <f>MEDIAN($Y$143:$Y$151)</f>
        <v>109</v>
      </c>
      <c r="AE143" s="66">
        <f>MAX($Y$143:$Y$151)</f>
        <v>161</v>
      </c>
      <c r="AF143" s="66">
        <f>MIN($Y$143:$Y$151)</f>
        <v>19</v>
      </c>
      <c r="AG143" s="66">
        <f>STDEV($Y$143:$Y$151)</f>
        <v>52.979817960343269</v>
      </c>
      <c r="AH143" s="66">
        <f>COUNT($Y$143:$Y$151)</f>
        <v>9</v>
      </c>
      <c r="AI143" s="172"/>
      <c r="AJ143" s="172"/>
      <c r="AK143" s="172"/>
      <c r="AL143" s="172"/>
    </row>
    <row r="144" spans="1:38" s="45" customFormat="1">
      <c r="A144" s="53"/>
      <c r="B144" s="290" t="s">
        <v>1276</v>
      </c>
      <c r="C144" s="291">
        <v>1989</v>
      </c>
      <c r="D144" s="66"/>
      <c r="E144" s="60" t="s">
        <v>49</v>
      </c>
      <c r="F144" s="54"/>
      <c r="G144" s="54"/>
      <c r="H144" s="54"/>
      <c r="I144" s="54"/>
      <c r="J144" s="294" t="s">
        <v>1013</v>
      </c>
      <c r="K144" s="294" t="s">
        <v>1257</v>
      </c>
      <c r="L144" s="39"/>
      <c r="O144" t="s">
        <v>1269</v>
      </c>
      <c r="R144">
        <v>0.94699999999999995</v>
      </c>
      <c r="S144"/>
      <c r="U144" s="54"/>
      <c r="V144" s="54"/>
      <c r="W144" s="54"/>
      <c r="X144" s="66">
        <f t="shared" si="7"/>
        <v>0.94699999999999995</v>
      </c>
      <c r="Y144">
        <v>19</v>
      </c>
      <c r="Z144" s="192" t="str">
        <f t="shared" ref="Z144:Z160" si="8">IF(X144&lt;&gt;"",IF(X144&lt;0.9,"S","F"),"")</f>
        <v>F</v>
      </c>
      <c r="AA144" s="66" t="s">
        <v>1397</v>
      </c>
      <c r="AB144" s="257" t="s">
        <v>1279</v>
      </c>
      <c r="AC144" s="66">
        <f>AVERAGE($Y$143:$Y$146)</f>
        <v>36.25</v>
      </c>
      <c r="AD144" s="66">
        <f>MEDIAN($Y$143:$Y$146)</f>
        <v>30</v>
      </c>
      <c r="AE144" s="66">
        <f>MAX($Y$143:$Y$146)</f>
        <v>66</v>
      </c>
      <c r="AF144" s="66">
        <f>MIN($Y$143:$Y$146)</f>
        <v>19</v>
      </c>
      <c r="AG144" s="66">
        <f>STDEV($Y$143:$Y$146)</f>
        <v>22.066188313042801</v>
      </c>
      <c r="AH144" s="66">
        <f>COUNT($Y$143:$Y$146)</f>
        <v>4</v>
      </c>
      <c r="AI144" s="172"/>
      <c r="AJ144" s="172"/>
      <c r="AK144" s="172"/>
      <c r="AL144" s="172"/>
    </row>
    <row r="145" spans="1:38" s="45" customFormat="1">
      <c r="A145" s="53"/>
      <c r="B145" s="290" t="s">
        <v>1276</v>
      </c>
      <c r="C145" s="291">
        <v>1989</v>
      </c>
      <c r="D145" s="66"/>
      <c r="E145" s="60" t="s">
        <v>49</v>
      </c>
      <c r="F145" s="54"/>
      <c r="G145" s="54"/>
      <c r="H145" s="54"/>
      <c r="I145" s="54"/>
      <c r="J145" s="294" t="s">
        <v>1013</v>
      </c>
      <c r="K145" s="294" t="s">
        <v>1257</v>
      </c>
      <c r="L145" s="39"/>
      <c r="O145" t="s">
        <v>1267</v>
      </c>
      <c r="R145">
        <v>0.92800000000000005</v>
      </c>
      <c r="S145"/>
      <c r="U145" s="54"/>
      <c r="V145" s="54"/>
      <c r="W145" s="54"/>
      <c r="X145" s="66">
        <f t="shared" si="7"/>
        <v>0.92800000000000005</v>
      </c>
      <c r="Y145">
        <v>40</v>
      </c>
      <c r="Z145" s="192" t="str">
        <f t="shared" si="8"/>
        <v>F</v>
      </c>
      <c r="AA145" s="66" t="s">
        <v>1397</v>
      </c>
      <c r="AB145" s="257" t="s">
        <v>1280</v>
      </c>
      <c r="AC145" s="66">
        <f>AVERAGE($Y$147:$Y$150)</f>
        <v>121.25</v>
      </c>
      <c r="AD145" s="66">
        <f>MEDIAN($Y$147:$Y$150)</f>
        <v>118</v>
      </c>
      <c r="AE145" s="66">
        <f>MAX($Y$147:$Y$150)</f>
        <v>140</v>
      </c>
      <c r="AF145" s="66">
        <f>MIN($Y$147:$Y$150)</f>
        <v>109</v>
      </c>
      <c r="AG145" s="66">
        <f>STDEV($Y$147:$Y$150)</f>
        <v>13.30100246848585</v>
      </c>
      <c r="AH145" s="66">
        <f>COUNT($Y$147:$Y$150)</f>
        <v>4</v>
      </c>
      <c r="AI145" s="172"/>
      <c r="AJ145" s="172"/>
      <c r="AK145" s="172"/>
      <c r="AL145" s="172"/>
    </row>
    <row r="146" spans="1:38" s="45" customFormat="1">
      <c r="A146" s="53"/>
      <c r="B146" s="290" t="s">
        <v>1276</v>
      </c>
      <c r="C146" s="291">
        <v>1989</v>
      </c>
      <c r="D146" s="66"/>
      <c r="E146" s="60" t="s">
        <v>49</v>
      </c>
      <c r="F146" s="54"/>
      <c r="G146" s="54"/>
      <c r="H146" s="54"/>
      <c r="I146" s="54"/>
      <c r="J146" s="294" t="s">
        <v>1013</v>
      </c>
      <c r="K146" s="294" t="s">
        <v>1257</v>
      </c>
      <c r="L146" s="39"/>
      <c r="O146" t="s">
        <v>1274</v>
      </c>
      <c r="R146">
        <v>0.9</v>
      </c>
      <c r="S146"/>
      <c r="U146" s="54"/>
      <c r="V146" s="54"/>
      <c r="W146" s="54"/>
      <c r="X146" s="66">
        <f t="shared" si="7"/>
        <v>0.9</v>
      </c>
      <c r="Y146">
        <v>66</v>
      </c>
      <c r="Z146" s="192" t="str">
        <f t="shared" si="8"/>
        <v>F</v>
      </c>
      <c r="AA146" s="66" t="s">
        <v>1397</v>
      </c>
      <c r="AB146" s="66"/>
      <c r="AC146" s="66"/>
      <c r="AD146" s="172"/>
      <c r="AE146" s="172"/>
      <c r="AF146" s="172"/>
      <c r="AG146" s="172"/>
      <c r="AH146" s="172"/>
      <c r="AI146" s="172"/>
      <c r="AJ146" s="172"/>
      <c r="AK146" s="172"/>
      <c r="AL146" s="172"/>
    </row>
    <row r="147" spans="1:38" s="45" customFormat="1">
      <c r="A147" s="53"/>
      <c r="B147" s="290" t="s">
        <v>1276</v>
      </c>
      <c r="C147" s="291">
        <v>1989</v>
      </c>
      <c r="D147" s="66"/>
      <c r="E147" s="60" t="s">
        <v>49</v>
      </c>
      <c r="F147" s="54"/>
      <c r="G147" s="54"/>
      <c r="H147" s="54"/>
      <c r="I147" s="54"/>
      <c r="J147" s="294" t="s">
        <v>1013</v>
      </c>
      <c r="K147" s="294" t="s">
        <v>1257</v>
      </c>
      <c r="L147" s="39"/>
      <c r="O147" t="s">
        <v>1271</v>
      </c>
      <c r="R147">
        <v>0.85399999999999998</v>
      </c>
      <c r="S147"/>
      <c r="U147" s="54"/>
      <c r="V147" s="54"/>
      <c r="W147" s="54"/>
      <c r="X147" s="66">
        <f t="shared" si="7"/>
        <v>0.85399999999999998</v>
      </c>
      <c r="Y147">
        <v>109</v>
      </c>
      <c r="Z147" s="192" t="str">
        <f t="shared" si="8"/>
        <v>S</v>
      </c>
      <c r="AA147" s="66" t="s">
        <v>1397</v>
      </c>
      <c r="AB147" s="66"/>
      <c r="AC147" s="66"/>
      <c r="AD147" s="172"/>
      <c r="AE147" s="172"/>
      <c r="AF147" s="172"/>
      <c r="AG147" s="172"/>
      <c r="AH147" s="172"/>
      <c r="AI147" s="172"/>
      <c r="AJ147" s="172"/>
      <c r="AK147" s="172"/>
      <c r="AL147" s="172"/>
    </row>
    <row r="148" spans="1:38" s="45" customFormat="1">
      <c r="A148" s="53"/>
      <c r="B148" s="290" t="s">
        <v>1276</v>
      </c>
      <c r="C148" s="291">
        <v>1989</v>
      </c>
      <c r="D148" s="66"/>
      <c r="E148" s="60" t="s">
        <v>49</v>
      </c>
      <c r="F148" s="54"/>
      <c r="G148" s="54"/>
      <c r="H148" s="54"/>
      <c r="I148" s="54"/>
      <c r="J148" s="294" t="s">
        <v>1013</v>
      </c>
      <c r="K148" s="294" t="s">
        <v>1257</v>
      </c>
      <c r="L148" s="39"/>
      <c r="O148" t="s">
        <v>1275</v>
      </c>
      <c r="R148">
        <v>0.84699999999999998</v>
      </c>
      <c r="S148"/>
      <c r="U148" s="54"/>
      <c r="V148" s="54"/>
      <c r="W148" s="54"/>
      <c r="X148" s="66">
        <f t="shared" si="7"/>
        <v>0.84699999999999998</v>
      </c>
      <c r="Y148">
        <v>116</v>
      </c>
      <c r="Z148" s="192" t="str">
        <f t="shared" si="8"/>
        <v>S</v>
      </c>
      <c r="AA148" s="66" t="s">
        <v>1397</v>
      </c>
      <c r="AB148" s="66"/>
      <c r="AC148" s="66"/>
      <c r="AD148" s="172"/>
      <c r="AE148" s="172"/>
      <c r="AF148" s="172"/>
      <c r="AG148" s="172"/>
      <c r="AH148" s="172"/>
      <c r="AI148" s="172"/>
      <c r="AJ148" s="172"/>
      <c r="AK148" s="172"/>
      <c r="AL148" s="172"/>
    </row>
    <row r="149" spans="1:38" s="45" customFormat="1">
      <c r="A149" s="53"/>
      <c r="B149" s="290" t="s">
        <v>1276</v>
      </c>
      <c r="C149" s="291">
        <v>1989</v>
      </c>
      <c r="D149" s="66"/>
      <c r="E149" s="60" t="s">
        <v>49</v>
      </c>
      <c r="F149" s="54"/>
      <c r="G149" s="54"/>
      <c r="H149" s="54"/>
      <c r="I149" s="54"/>
      <c r="J149" s="294" t="s">
        <v>1013</v>
      </c>
      <c r="K149" s="294" t="s">
        <v>1257</v>
      </c>
      <c r="L149" s="39"/>
      <c r="O149" t="s">
        <v>1273</v>
      </c>
      <c r="R149">
        <v>0.84099999999999997</v>
      </c>
      <c r="S149"/>
      <c r="U149" s="54"/>
      <c r="V149" s="54"/>
      <c r="W149" s="54"/>
      <c r="X149" s="66">
        <f t="shared" si="7"/>
        <v>0.84099999999999997</v>
      </c>
      <c r="Y149">
        <v>120</v>
      </c>
      <c r="Z149" s="192" t="str">
        <f t="shared" si="8"/>
        <v>S</v>
      </c>
      <c r="AA149" s="66" t="s">
        <v>1397</v>
      </c>
      <c r="AB149" s="66"/>
      <c r="AC149" s="66"/>
      <c r="AD149" s="172"/>
      <c r="AE149" s="172"/>
      <c r="AF149" s="172"/>
      <c r="AG149" s="172"/>
      <c r="AH149" s="172"/>
      <c r="AI149" s="172"/>
      <c r="AJ149" s="172"/>
      <c r="AK149" s="172"/>
      <c r="AL149" s="172"/>
    </row>
    <row r="150" spans="1:38" s="45" customFormat="1">
      <c r="A150" s="53"/>
      <c r="B150" s="290" t="s">
        <v>1276</v>
      </c>
      <c r="C150" s="291">
        <v>1989</v>
      </c>
      <c r="D150" s="66"/>
      <c r="E150" s="60" t="s">
        <v>49</v>
      </c>
      <c r="F150" s="54"/>
      <c r="G150" s="54"/>
      <c r="H150" s="54"/>
      <c r="I150" s="54"/>
      <c r="J150" s="294" t="s">
        <v>1013</v>
      </c>
      <c r="K150" s="294" t="s">
        <v>1257</v>
      </c>
      <c r="L150" s="39"/>
      <c r="O150" t="s">
        <v>1272</v>
      </c>
      <c r="R150">
        <v>0.82199999999999995</v>
      </c>
      <c r="S150"/>
      <c r="U150" s="54"/>
      <c r="V150" s="54"/>
      <c r="W150" s="54"/>
      <c r="X150" s="66">
        <f t="shared" si="7"/>
        <v>0.82199999999999995</v>
      </c>
      <c r="Y150">
        <v>140</v>
      </c>
      <c r="Z150" s="192" t="str">
        <f t="shared" si="8"/>
        <v>S</v>
      </c>
      <c r="AA150" s="66" t="s">
        <v>1397</v>
      </c>
      <c r="AB150" s="66"/>
      <c r="AC150" s="66"/>
      <c r="AD150" s="172"/>
      <c r="AE150" s="172"/>
      <c r="AF150" s="172"/>
      <c r="AG150" s="172"/>
      <c r="AH150" s="172"/>
      <c r="AI150" s="172"/>
      <c r="AJ150" s="172"/>
      <c r="AK150" s="172"/>
      <c r="AL150" s="172"/>
    </row>
    <row r="151" spans="1:38" s="45" customFormat="1">
      <c r="A151" s="53"/>
      <c r="B151" s="290" t="s">
        <v>1276</v>
      </c>
      <c r="C151" s="291">
        <v>1989</v>
      </c>
      <c r="D151" s="66"/>
      <c r="E151" s="60" t="s">
        <v>49</v>
      </c>
      <c r="F151" s="54"/>
      <c r="G151" s="54"/>
      <c r="H151" s="54"/>
      <c r="I151" s="54"/>
      <c r="J151" s="294" t="s">
        <v>1013</v>
      </c>
      <c r="K151" s="294" t="s">
        <v>1257</v>
      </c>
      <c r="L151" s="39"/>
      <c r="O151" t="s">
        <v>1270</v>
      </c>
      <c r="R151">
        <v>0.79600000000000004</v>
      </c>
      <c r="S151"/>
      <c r="U151" s="54"/>
      <c r="V151" s="54"/>
      <c r="W151" s="54"/>
      <c r="X151" s="66">
        <f t="shared" si="7"/>
        <v>0.79600000000000004</v>
      </c>
      <c r="Y151">
        <v>161</v>
      </c>
      <c r="Z151" s="192" t="str">
        <f t="shared" si="8"/>
        <v>S</v>
      </c>
      <c r="AA151" s="66" t="s">
        <v>1397</v>
      </c>
      <c r="AB151" s="66"/>
      <c r="AC151" s="66"/>
      <c r="AD151" s="172"/>
      <c r="AE151" s="172"/>
      <c r="AF151" s="172"/>
      <c r="AG151" s="172"/>
      <c r="AH151" s="172"/>
      <c r="AI151" s="172"/>
      <c r="AJ151" s="172"/>
      <c r="AK151" s="172"/>
      <c r="AL151" s="172"/>
    </row>
    <row r="152" spans="1:38" s="107" customFormat="1">
      <c r="A152" s="97"/>
      <c r="B152" s="258" t="s">
        <v>1276</v>
      </c>
      <c r="C152" s="259">
        <v>1989</v>
      </c>
      <c r="D152" s="101"/>
      <c r="E152" s="103" t="s">
        <v>49</v>
      </c>
      <c r="F152" s="98"/>
      <c r="G152" s="98"/>
      <c r="H152" s="98"/>
      <c r="I152" s="98"/>
      <c r="J152" s="302" t="s">
        <v>1013</v>
      </c>
      <c r="K152" s="302" t="s">
        <v>1256</v>
      </c>
      <c r="L152" s="303"/>
      <c r="O152" s="107" t="s">
        <v>1260</v>
      </c>
      <c r="R152" s="107">
        <v>0.94099999999999995</v>
      </c>
      <c r="U152" s="98"/>
      <c r="V152" s="98"/>
      <c r="W152" s="98"/>
      <c r="X152" s="101">
        <f t="shared" si="7"/>
        <v>0.94099999999999995</v>
      </c>
      <c r="Y152" s="107">
        <v>32</v>
      </c>
      <c r="Z152" s="106" t="str">
        <f t="shared" si="8"/>
        <v>F</v>
      </c>
      <c r="AA152" s="101" t="s">
        <v>1397</v>
      </c>
      <c r="AB152" s="302" t="s">
        <v>1393</v>
      </c>
      <c r="AC152" s="101">
        <f>AVERAGE($Y$152:$Y$160)</f>
        <v>92.111111111111114</v>
      </c>
      <c r="AD152" s="101">
        <f>MEDIAN($Y$152:$Y$160)</f>
        <v>73</v>
      </c>
      <c r="AE152" s="101">
        <f>MAX($Y$152:$Y$160)</f>
        <v>198</v>
      </c>
      <c r="AF152" s="101">
        <f>MIN($Y$152:$Y$160)</f>
        <v>32</v>
      </c>
      <c r="AG152" s="101">
        <f>STDEV($Y$152:$Y$160)</f>
        <v>51.287046231101193</v>
      </c>
      <c r="AH152" s="101">
        <f>COUNT($Y$152:$Y$160)</f>
        <v>9</v>
      </c>
      <c r="AI152" s="174"/>
      <c r="AJ152" s="174"/>
      <c r="AK152" s="174"/>
      <c r="AL152" s="174"/>
    </row>
    <row r="153" spans="1:38" s="107" customFormat="1">
      <c r="A153" s="97"/>
      <c r="B153" s="258" t="s">
        <v>1276</v>
      </c>
      <c r="C153" s="259">
        <v>1989</v>
      </c>
      <c r="D153" s="101"/>
      <c r="E153" s="103" t="s">
        <v>49</v>
      </c>
      <c r="F153" s="98"/>
      <c r="G153" s="98"/>
      <c r="H153" s="98"/>
      <c r="I153" s="98"/>
      <c r="J153" s="302" t="s">
        <v>1013</v>
      </c>
      <c r="K153" s="302" t="s">
        <v>1256</v>
      </c>
      <c r="L153" s="303"/>
      <c r="O153" s="107" t="s">
        <v>1259</v>
      </c>
      <c r="R153" s="107">
        <v>0.92500000000000004</v>
      </c>
      <c r="U153" s="98"/>
      <c r="V153" s="98"/>
      <c r="W153" s="98"/>
      <c r="X153" s="101">
        <f t="shared" si="7"/>
        <v>0.92500000000000004</v>
      </c>
      <c r="Y153" s="107">
        <v>44</v>
      </c>
      <c r="Z153" s="106" t="str">
        <f t="shared" si="8"/>
        <v>F</v>
      </c>
      <c r="AA153" s="101" t="s">
        <v>1397</v>
      </c>
      <c r="AB153" s="302" t="s">
        <v>1281</v>
      </c>
      <c r="AC153" s="101">
        <f>AVERAGE($Y$152:$Y$154)</f>
        <v>44.666666666666664</v>
      </c>
      <c r="AD153" s="101">
        <f>MEDIAN($Y$152:$Y$154)</f>
        <v>44</v>
      </c>
      <c r="AE153" s="101">
        <f>MAX($Y$152:$Y$154)</f>
        <v>58</v>
      </c>
      <c r="AF153" s="101">
        <f>MIN($Y$152:$Y$154)</f>
        <v>32</v>
      </c>
      <c r="AG153" s="101">
        <f>STDEV($Y$152:$Y$154)</f>
        <v>13.012814197295429</v>
      </c>
      <c r="AH153" s="101">
        <f>COUNT($Y$152:$Y$154)</f>
        <v>3</v>
      </c>
      <c r="AI153" s="174"/>
      <c r="AJ153" s="174"/>
      <c r="AK153" s="174"/>
      <c r="AL153" s="174"/>
    </row>
    <row r="154" spans="1:38" s="107" customFormat="1">
      <c r="A154" s="97"/>
      <c r="B154" s="258" t="s">
        <v>1276</v>
      </c>
      <c r="C154" s="259">
        <v>1989</v>
      </c>
      <c r="D154" s="101"/>
      <c r="E154" s="103" t="s">
        <v>49</v>
      </c>
      <c r="F154" s="98"/>
      <c r="G154" s="98"/>
      <c r="H154" s="98"/>
      <c r="I154" s="98"/>
      <c r="J154" s="302" t="s">
        <v>1013</v>
      </c>
      <c r="K154" s="302" t="s">
        <v>1256</v>
      </c>
      <c r="L154" s="303"/>
      <c r="O154" s="107" t="s">
        <v>1258</v>
      </c>
      <c r="R154" s="107">
        <v>0.91400000000000003</v>
      </c>
      <c r="U154" s="98"/>
      <c r="V154" s="98"/>
      <c r="W154" s="98"/>
      <c r="X154" s="101">
        <f t="shared" si="7"/>
        <v>0.91400000000000003</v>
      </c>
      <c r="Y154" s="107">
        <v>58</v>
      </c>
      <c r="Z154" s="106" t="str">
        <f t="shared" si="8"/>
        <v>F</v>
      </c>
      <c r="AA154" s="101" t="s">
        <v>1397</v>
      </c>
      <c r="AB154" s="302" t="s">
        <v>1282</v>
      </c>
      <c r="AC154" s="101">
        <f>AVERAGE($Y$155:$Y$159)</f>
        <v>99.4</v>
      </c>
      <c r="AD154" s="101">
        <f>MEDIAN($Y$155:$Y$159)</f>
        <v>107</v>
      </c>
      <c r="AE154" s="101">
        <f>MAX($Y$155:$Y$159)</f>
        <v>122</v>
      </c>
      <c r="AF154" s="101">
        <f>MIN($Y$155:$Y$159)</f>
        <v>73</v>
      </c>
      <c r="AG154" s="101">
        <f>STDEV($Y$155:$Y$159)</f>
        <v>24.865638942122505</v>
      </c>
      <c r="AH154" s="101">
        <f>COUNT($Y$155:$Y$159)</f>
        <v>5</v>
      </c>
      <c r="AI154" s="174"/>
      <c r="AJ154" s="174"/>
      <c r="AK154" s="174"/>
      <c r="AL154" s="174"/>
    </row>
    <row r="155" spans="1:38" s="107" customFormat="1">
      <c r="A155" s="97"/>
      <c r="B155" s="258" t="s">
        <v>1276</v>
      </c>
      <c r="C155" s="259">
        <v>1989</v>
      </c>
      <c r="D155" s="101"/>
      <c r="E155" s="103" t="s">
        <v>49</v>
      </c>
      <c r="F155" s="98"/>
      <c r="G155" s="98"/>
      <c r="H155" s="98"/>
      <c r="I155" s="98"/>
      <c r="J155" s="302" t="s">
        <v>1013</v>
      </c>
      <c r="K155" s="302" t="s">
        <v>1256</v>
      </c>
      <c r="L155" s="303"/>
      <c r="O155" s="107" t="s">
        <v>1265</v>
      </c>
      <c r="R155" s="107">
        <v>0.89300000000000002</v>
      </c>
      <c r="U155" s="98"/>
      <c r="V155" s="98"/>
      <c r="W155" s="98"/>
      <c r="X155" s="101">
        <f t="shared" si="7"/>
        <v>0.89300000000000002</v>
      </c>
      <c r="Y155" s="107">
        <v>73</v>
      </c>
      <c r="Z155" s="106" t="str">
        <f t="shared" si="8"/>
        <v>S</v>
      </c>
      <c r="AA155" s="101" t="s">
        <v>1397</v>
      </c>
      <c r="AB155" s="101"/>
      <c r="AC155" s="101"/>
      <c r="AD155" s="174"/>
      <c r="AE155" s="174"/>
      <c r="AF155" s="174"/>
      <c r="AG155" s="174"/>
      <c r="AH155" s="174"/>
      <c r="AI155" s="174"/>
      <c r="AJ155" s="174"/>
      <c r="AK155" s="174"/>
      <c r="AL155" s="174"/>
    </row>
    <row r="156" spans="1:38" s="107" customFormat="1">
      <c r="A156" s="97"/>
      <c r="B156" s="258" t="s">
        <v>1276</v>
      </c>
      <c r="C156" s="259">
        <v>1989</v>
      </c>
      <c r="D156" s="101"/>
      <c r="E156" s="103" t="s">
        <v>49</v>
      </c>
      <c r="F156" s="98"/>
      <c r="G156" s="98"/>
      <c r="H156" s="98"/>
      <c r="I156" s="98"/>
      <c r="J156" s="302" t="s">
        <v>1013</v>
      </c>
      <c r="K156" s="302" t="s">
        <v>1256</v>
      </c>
      <c r="L156" s="303"/>
      <c r="O156" s="107" t="s">
        <v>1266</v>
      </c>
      <c r="R156" s="107">
        <v>0.88200000000000001</v>
      </c>
      <c r="U156" s="98"/>
      <c r="V156" s="98"/>
      <c r="W156" s="98"/>
      <c r="X156" s="101">
        <f t="shared" si="7"/>
        <v>0.88200000000000001</v>
      </c>
      <c r="Y156" s="107">
        <v>73</v>
      </c>
      <c r="Z156" s="106" t="str">
        <f t="shared" si="8"/>
        <v>S</v>
      </c>
      <c r="AA156" s="101" t="s">
        <v>1397</v>
      </c>
      <c r="AB156" s="101"/>
      <c r="AC156" s="101"/>
      <c r="AD156" s="174"/>
      <c r="AE156" s="174"/>
      <c r="AF156" s="174"/>
      <c r="AG156" s="174"/>
      <c r="AH156" s="174"/>
      <c r="AI156" s="174"/>
      <c r="AJ156" s="174"/>
      <c r="AK156" s="174"/>
      <c r="AL156" s="174"/>
    </row>
    <row r="157" spans="1:38" s="107" customFormat="1">
      <c r="A157" s="97"/>
      <c r="B157" s="258" t="s">
        <v>1276</v>
      </c>
      <c r="C157" s="259">
        <v>1989</v>
      </c>
      <c r="D157" s="101"/>
      <c r="E157" s="103" t="s">
        <v>49</v>
      </c>
      <c r="F157" s="98"/>
      <c r="G157" s="98"/>
      <c r="H157" s="98"/>
      <c r="I157" s="98"/>
      <c r="J157" s="302" t="s">
        <v>1013</v>
      </c>
      <c r="K157" s="302" t="s">
        <v>1256</v>
      </c>
      <c r="L157" s="303"/>
      <c r="O157" s="107" t="s">
        <v>1264</v>
      </c>
      <c r="R157" s="107">
        <v>0.84199999999999997</v>
      </c>
      <c r="U157" s="98"/>
      <c r="V157" s="98"/>
      <c r="W157" s="98"/>
      <c r="X157" s="101">
        <f t="shared" si="7"/>
        <v>0.84199999999999997</v>
      </c>
      <c r="Y157" s="107">
        <v>122</v>
      </c>
      <c r="Z157" s="106" t="str">
        <f t="shared" si="8"/>
        <v>S</v>
      </c>
      <c r="AA157" s="101" t="s">
        <v>1397</v>
      </c>
      <c r="AB157" s="101"/>
      <c r="AC157" s="101"/>
      <c r="AD157" s="174"/>
      <c r="AE157" s="174"/>
      <c r="AF157" s="174"/>
      <c r="AG157" s="174"/>
      <c r="AH157" s="174"/>
      <c r="AI157" s="174"/>
      <c r="AJ157" s="174"/>
      <c r="AK157" s="174"/>
      <c r="AL157" s="174"/>
    </row>
    <row r="158" spans="1:38" s="107" customFormat="1">
      <c r="A158" s="97"/>
      <c r="B158" s="258" t="s">
        <v>1276</v>
      </c>
      <c r="C158" s="259">
        <v>1989</v>
      </c>
      <c r="D158" s="101"/>
      <c r="E158" s="103" t="s">
        <v>49</v>
      </c>
      <c r="F158" s="98"/>
      <c r="G158" s="98"/>
      <c r="H158" s="98"/>
      <c r="I158" s="98"/>
      <c r="J158" s="302" t="s">
        <v>1013</v>
      </c>
      <c r="K158" s="302" t="s">
        <v>1256</v>
      </c>
      <c r="L158" s="303"/>
      <c r="O158" s="107" t="s">
        <v>1262</v>
      </c>
      <c r="R158" s="107">
        <v>0.84099999999999997</v>
      </c>
      <c r="U158" s="98"/>
      <c r="V158" s="98"/>
      <c r="W158" s="98"/>
      <c r="X158" s="101">
        <f t="shared" si="7"/>
        <v>0.84099999999999997</v>
      </c>
      <c r="Y158" s="107">
        <v>122</v>
      </c>
      <c r="Z158" s="106" t="str">
        <f t="shared" si="8"/>
        <v>S</v>
      </c>
      <c r="AA158" s="101" t="s">
        <v>1397</v>
      </c>
      <c r="AB158" s="101"/>
      <c r="AC158" s="101"/>
      <c r="AD158" s="174"/>
      <c r="AE158" s="174"/>
      <c r="AF158" s="174"/>
      <c r="AG158" s="174"/>
      <c r="AH158" s="174"/>
      <c r="AI158" s="174"/>
      <c r="AJ158" s="174"/>
      <c r="AK158" s="174"/>
      <c r="AL158" s="174"/>
    </row>
    <row r="159" spans="1:38" s="107" customFormat="1">
      <c r="A159" s="97"/>
      <c r="B159" s="258" t="s">
        <v>1276</v>
      </c>
      <c r="C159" s="259">
        <v>1989</v>
      </c>
      <c r="D159" s="101"/>
      <c r="E159" s="103" t="s">
        <v>49</v>
      </c>
      <c r="F159" s="98"/>
      <c r="G159" s="98"/>
      <c r="H159" s="98"/>
      <c r="I159" s="98"/>
      <c r="J159" s="302" t="s">
        <v>1013</v>
      </c>
      <c r="K159" s="302" t="s">
        <v>1256</v>
      </c>
      <c r="L159" s="303"/>
      <c r="O159" s="107" t="s">
        <v>1263</v>
      </c>
      <c r="R159" s="107">
        <v>0.83199999999999996</v>
      </c>
      <c r="U159" s="98"/>
      <c r="V159" s="98"/>
      <c r="W159" s="98"/>
      <c r="X159" s="101">
        <f t="shared" si="7"/>
        <v>0.83199999999999996</v>
      </c>
      <c r="Y159" s="107">
        <v>107</v>
      </c>
      <c r="Z159" s="106" t="str">
        <f t="shared" si="8"/>
        <v>S</v>
      </c>
      <c r="AA159" s="101" t="s">
        <v>1397</v>
      </c>
      <c r="AB159" s="101"/>
      <c r="AC159" s="101"/>
      <c r="AD159" s="174"/>
      <c r="AE159" s="174"/>
      <c r="AF159" s="174"/>
      <c r="AG159" s="174"/>
      <c r="AH159" s="174"/>
      <c r="AI159" s="174"/>
      <c r="AJ159" s="174"/>
      <c r="AK159" s="174"/>
      <c r="AL159" s="174"/>
    </row>
    <row r="160" spans="1:38" s="107" customFormat="1">
      <c r="A160" s="97"/>
      <c r="B160" s="258" t="s">
        <v>1276</v>
      </c>
      <c r="C160" s="259">
        <v>1989</v>
      </c>
      <c r="D160" s="101"/>
      <c r="E160" s="103" t="s">
        <v>49</v>
      </c>
      <c r="F160" s="98"/>
      <c r="G160" s="98"/>
      <c r="H160" s="98"/>
      <c r="I160" s="98"/>
      <c r="J160" s="292" t="s">
        <v>1013</v>
      </c>
      <c r="K160" s="292" t="s">
        <v>1256</v>
      </c>
      <c r="O160" s="107" t="s">
        <v>1261</v>
      </c>
      <c r="R160" s="107">
        <v>0.75600000000000001</v>
      </c>
      <c r="U160" s="98"/>
      <c r="V160" s="98"/>
      <c r="W160" s="98"/>
      <c r="X160" s="101">
        <f t="shared" si="7"/>
        <v>0.75600000000000001</v>
      </c>
      <c r="Y160" s="107">
        <v>198</v>
      </c>
      <c r="Z160" s="106" t="str">
        <f t="shared" si="8"/>
        <v>S</v>
      </c>
      <c r="AA160" s="101" t="s">
        <v>1397</v>
      </c>
      <c r="AB160" s="101"/>
      <c r="AC160" s="101"/>
      <c r="AD160" s="174"/>
      <c r="AE160" s="174"/>
      <c r="AF160" s="174"/>
      <c r="AG160" s="174"/>
      <c r="AH160" s="174"/>
      <c r="AI160" s="174"/>
      <c r="AJ160" s="174"/>
      <c r="AK160" s="174"/>
      <c r="AL160" s="174"/>
    </row>
    <row r="161" spans="1:38" s="45" customFormat="1">
      <c r="A161" s="66"/>
      <c r="B161" s="67" t="s">
        <v>968</v>
      </c>
      <c r="C161" s="171">
        <v>1996</v>
      </c>
      <c r="D161" s="66"/>
      <c r="E161" s="73" t="s">
        <v>172</v>
      </c>
      <c r="F161" s="66"/>
      <c r="G161" s="66"/>
      <c r="H161" s="67" t="s">
        <v>23</v>
      </c>
      <c r="I161" s="67"/>
      <c r="J161" s="66" t="s">
        <v>1013</v>
      </c>
      <c r="K161" s="67" t="s">
        <v>1006</v>
      </c>
      <c r="L161" s="67" t="s">
        <v>1006</v>
      </c>
      <c r="M161" s="67" t="s">
        <v>1007</v>
      </c>
      <c r="N161" s="67"/>
      <c r="O161" s="67" t="s">
        <v>1008</v>
      </c>
      <c r="P161" s="66"/>
      <c r="Q161" s="66"/>
      <c r="R161" s="66"/>
      <c r="S161" s="66"/>
      <c r="T161" s="66"/>
      <c r="U161" s="66"/>
      <c r="V161" s="66">
        <f>139*28/12/2</f>
        <v>162.16666666666666</v>
      </c>
      <c r="W161" s="66"/>
      <c r="X161" s="66" t="str">
        <f t="shared" si="7"/>
        <v/>
      </c>
      <c r="Y161" s="206">
        <f>139*28/12/2</f>
        <v>162.16666666666666</v>
      </c>
      <c r="Z161" s="192" t="s">
        <v>1192</v>
      </c>
      <c r="AA161" s="66" t="s">
        <v>1397</v>
      </c>
      <c r="AB161" s="66"/>
      <c r="AC161" s="66"/>
      <c r="AD161" s="172"/>
      <c r="AE161" s="172"/>
      <c r="AF161" s="172"/>
      <c r="AG161" s="172"/>
      <c r="AH161" s="172"/>
      <c r="AI161" s="172"/>
      <c r="AJ161" s="172"/>
      <c r="AK161" s="172"/>
      <c r="AL161" s="172"/>
    </row>
    <row r="162" spans="1:38" s="107" customFormat="1">
      <c r="A162" s="97">
        <v>37</v>
      </c>
      <c r="B162" s="103" t="s">
        <v>45</v>
      </c>
      <c r="C162" s="103">
        <v>1982</v>
      </c>
      <c r="D162" s="103" t="s">
        <v>92</v>
      </c>
      <c r="E162" s="99" t="s">
        <v>49</v>
      </c>
      <c r="F162" s="127">
        <v>29781</v>
      </c>
      <c r="G162" s="98" t="s">
        <v>94</v>
      </c>
      <c r="H162" s="98" t="s">
        <v>95</v>
      </c>
      <c r="I162" s="98"/>
      <c r="J162" s="98" t="s">
        <v>1013</v>
      </c>
      <c r="K162" s="98" t="s">
        <v>1134</v>
      </c>
      <c r="L162" s="98" t="s">
        <v>96</v>
      </c>
      <c r="M162" s="98"/>
      <c r="N162" s="98"/>
      <c r="O162" s="98" t="s">
        <v>99</v>
      </c>
      <c r="P162" s="98"/>
      <c r="Q162" s="98"/>
      <c r="R162" s="98"/>
      <c r="S162" s="98"/>
      <c r="T162" s="98"/>
      <c r="U162" s="98"/>
      <c r="V162" s="98"/>
      <c r="W162" s="98"/>
      <c r="X162" s="101" t="str">
        <f t="shared" si="7"/>
        <v/>
      </c>
      <c r="Y162" s="122">
        <v>135.6</v>
      </c>
      <c r="Z162" s="106" t="str">
        <f>IF(X162&lt;&gt;"",IF(X162&lt;0.9,"S","F"),"")</f>
        <v/>
      </c>
      <c r="AA162" s="101" t="s">
        <v>1397</v>
      </c>
      <c r="AB162" s="101" t="s">
        <v>1401</v>
      </c>
      <c r="AC162" s="292">
        <f>AVERAGE($Y$162:$Y$211)</f>
        <v>166.68799999999999</v>
      </c>
      <c r="AD162" s="292">
        <f>MEDIAN($Y$162:$Y$211)</f>
        <v>183.5</v>
      </c>
      <c r="AE162" s="292">
        <f>MAX($Y$162:$Y$211)</f>
        <v>359</v>
      </c>
      <c r="AF162" s="292">
        <f>MIN($Y$162:$Y$211)</f>
        <v>46.2</v>
      </c>
      <c r="AG162" s="292">
        <f>STDEV($Y$162:$Y$211)</f>
        <v>77.127566315256459</v>
      </c>
      <c r="AH162" s="292">
        <f>COUNT($Y$162:$Y$211)</f>
        <v>50</v>
      </c>
      <c r="AI162" s="174"/>
      <c r="AJ162" s="174"/>
      <c r="AK162" s="174"/>
      <c r="AL162" s="174"/>
    </row>
    <row r="163" spans="1:38" s="107" customFormat="1">
      <c r="A163" s="97">
        <v>37</v>
      </c>
      <c r="B163" s="103" t="s">
        <v>45</v>
      </c>
      <c r="C163" s="103">
        <v>1982</v>
      </c>
      <c r="D163" s="103" t="s">
        <v>92</v>
      </c>
      <c r="E163" s="99" t="s">
        <v>49</v>
      </c>
      <c r="F163" s="98">
        <v>1989</v>
      </c>
      <c r="G163" s="98" t="s">
        <v>94</v>
      </c>
      <c r="H163" s="98" t="s">
        <v>95</v>
      </c>
      <c r="I163" s="98"/>
      <c r="J163" s="98" t="s">
        <v>1013</v>
      </c>
      <c r="K163" s="98" t="s">
        <v>1134</v>
      </c>
      <c r="L163" s="98" t="s">
        <v>96</v>
      </c>
      <c r="M163" s="98"/>
      <c r="N163" s="98"/>
      <c r="O163" s="98" t="s">
        <v>100</v>
      </c>
      <c r="P163" s="98"/>
      <c r="Q163" s="98"/>
      <c r="R163" s="98"/>
      <c r="S163" s="98"/>
      <c r="T163" s="98"/>
      <c r="U163" s="98"/>
      <c r="V163" s="98"/>
      <c r="W163" s="98"/>
      <c r="X163" s="101" t="str">
        <f t="shared" si="7"/>
        <v/>
      </c>
      <c r="Y163" s="122">
        <v>102</v>
      </c>
      <c r="Z163" s="106" t="str">
        <f>IF(X163&lt;&gt;"",IF(X163&lt;0.9,"S","F"),"")</f>
        <v/>
      </c>
      <c r="AA163" s="101" t="s">
        <v>1397</v>
      </c>
      <c r="AB163" s="101" t="s">
        <v>1402</v>
      </c>
      <c r="AC163" s="292">
        <f>AVERAGE($Y$166:$Y$175)</f>
        <v>64.92</v>
      </c>
      <c r="AD163" s="292">
        <f>MEDIAN($Y$166:$Y$175)</f>
        <v>61.5</v>
      </c>
      <c r="AE163" s="292">
        <f>MAX($Y$166:$Y$175)</f>
        <v>87</v>
      </c>
      <c r="AF163" s="292">
        <f>MIN($Y$166:$Y$175)</f>
        <v>46.2</v>
      </c>
      <c r="AG163" s="292">
        <f>STDEV($Y$166:$Y$175)</f>
        <v>15.10473067912462</v>
      </c>
      <c r="AH163" s="292">
        <f>COUNT($Y$166:$Y$175)</f>
        <v>10</v>
      </c>
      <c r="AI163" s="174"/>
      <c r="AJ163" s="174"/>
      <c r="AK163" s="174"/>
      <c r="AL163" s="174"/>
    </row>
    <row r="164" spans="1:38" s="107" customFormat="1">
      <c r="A164" s="97">
        <v>37</v>
      </c>
      <c r="B164" s="103" t="s">
        <v>45</v>
      </c>
      <c r="C164" s="103">
        <v>1982</v>
      </c>
      <c r="D164" s="103" t="s">
        <v>92</v>
      </c>
      <c r="E164" s="99" t="s">
        <v>49</v>
      </c>
      <c r="F164" s="127">
        <v>29781</v>
      </c>
      <c r="G164" s="98" t="s">
        <v>94</v>
      </c>
      <c r="H164" s="98" t="s">
        <v>95</v>
      </c>
      <c r="I164" s="98"/>
      <c r="J164" s="98" t="s">
        <v>1013</v>
      </c>
      <c r="K164" s="98" t="s">
        <v>1134</v>
      </c>
      <c r="L164" s="98" t="s">
        <v>96</v>
      </c>
      <c r="M164" s="98"/>
      <c r="N164" s="98"/>
      <c r="O164" s="98" t="s">
        <v>97</v>
      </c>
      <c r="P164" s="98"/>
      <c r="Q164" s="98"/>
      <c r="R164" s="98"/>
      <c r="S164" s="98"/>
      <c r="T164" s="98"/>
      <c r="U164" s="98"/>
      <c r="V164" s="98"/>
      <c r="W164" s="98"/>
      <c r="X164" s="101" t="str">
        <f t="shared" si="7"/>
        <v/>
      </c>
      <c r="Y164" s="122">
        <v>92.8</v>
      </c>
      <c r="Z164" s="106" t="str">
        <f>IF(X164&lt;&gt;"",IF(X164&lt;0.9,"S","F"),"")</f>
        <v/>
      </c>
      <c r="AA164" s="101" t="s">
        <v>1397</v>
      </c>
      <c r="AB164" s="101" t="s">
        <v>1403</v>
      </c>
      <c r="AC164" s="292">
        <f>AVERAGE($Y$187:$Y$195)</f>
        <v>143.44444444444446</v>
      </c>
      <c r="AD164" s="292">
        <f>MEDIAN($Y$187:$Y$195)</f>
        <v>130</v>
      </c>
      <c r="AE164" s="292">
        <f>MAX($Y$187:$Y$195)</f>
        <v>198</v>
      </c>
      <c r="AF164" s="292">
        <f>MIN($Y$187:$Y$195)</f>
        <v>94</v>
      </c>
      <c r="AG164" s="292">
        <f>STDEV($Y$187:$Y$195)</f>
        <v>42.3500623113801</v>
      </c>
      <c r="AH164" s="292">
        <f>COUNT($Y$187:$Y$195)</f>
        <v>9</v>
      </c>
      <c r="AI164" s="174"/>
      <c r="AJ164" s="174"/>
      <c r="AK164" s="174"/>
      <c r="AL164" s="174"/>
    </row>
    <row r="165" spans="1:38" s="107" customFormat="1">
      <c r="A165" s="97">
        <v>37</v>
      </c>
      <c r="B165" s="103" t="s">
        <v>45</v>
      </c>
      <c r="C165" s="103">
        <v>1982</v>
      </c>
      <c r="D165" s="103" t="s">
        <v>92</v>
      </c>
      <c r="E165" s="99" t="s">
        <v>49</v>
      </c>
      <c r="F165" s="127">
        <v>29781</v>
      </c>
      <c r="G165" s="98" t="s">
        <v>94</v>
      </c>
      <c r="H165" s="98" t="s">
        <v>95</v>
      </c>
      <c r="I165" s="98"/>
      <c r="J165" s="98" t="s">
        <v>1013</v>
      </c>
      <c r="K165" s="98" t="s">
        <v>1134</v>
      </c>
      <c r="L165" s="98" t="s">
        <v>96</v>
      </c>
      <c r="M165" s="98"/>
      <c r="N165" s="98"/>
      <c r="O165" s="98" t="s">
        <v>98</v>
      </c>
      <c r="P165" s="98"/>
      <c r="Q165" s="98"/>
      <c r="R165" s="98"/>
      <c r="S165" s="98"/>
      <c r="T165" s="98"/>
      <c r="U165" s="98"/>
      <c r="V165" s="98"/>
      <c r="W165" s="98"/>
      <c r="X165" s="101" t="str">
        <f t="shared" si="7"/>
        <v/>
      </c>
      <c r="Y165" s="122">
        <v>76.8</v>
      </c>
      <c r="Z165" s="106" t="str">
        <f>IF(X165&lt;&gt;"",IF(X165&lt;0.9,"S","F"),"")</f>
        <v/>
      </c>
      <c r="AA165" s="101" t="s">
        <v>1397</v>
      </c>
      <c r="AB165" s="101"/>
      <c r="AC165" s="101"/>
      <c r="AD165" s="174"/>
      <c r="AE165" s="174"/>
      <c r="AF165" s="174"/>
      <c r="AG165" s="174"/>
      <c r="AH165" s="174"/>
      <c r="AI165" s="174"/>
      <c r="AJ165" s="174"/>
      <c r="AK165" s="174"/>
      <c r="AL165" s="174"/>
    </row>
    <row r="166" spans="1:38" s="107" customFormat="1">
      <c r="A166" s="97">
        <v>35</v>
      </c>
      <c r="B166" s="103" t="s">
        <v>45</v>
      </c>
      <c r="C166" s="103">
        <v>1982</v>
      </c>
      <c r="D166" s="103" t="s">
        <v>46</v>
      </c>
      <c r="E166" s="99" t="s">
        <v>49</v>
      </c>
      <c r="F166" s="98" t="s">
        <v>50</v>
      </c>
      <c r="G166" s="98" t="s">
        <v>51</v>
      </c>
      <c r="H166" s="98" t="s">
        <v>23</v>
      </c>
      <c r="I166" s="98"/>
      <c r="J166" s="98" t="s">
        <v>1013</v>
      </c>
      <c r="K166" s="98" t="s">
        <v>1134</v>
      </c>
      <c r="L166" s="98" t="s">
        <v>52</v>
      </c>
      <c r="M166" s="98"/>
      <c r="N166" s="98"/>
      <c r="O166" s="98" t="s">
        <v>53</v>
      </c>
      <c r="P166" s="98"/>
      <c r="Q166" s="98"/>
      <c r="R166" s="98"/>
      <c r="S166" s="98"/>
      <c r="T166" s="98"/>
      <c r="U166" s="98"/>
      <c r="V166" s="98"/>
      <c r="W166" s="98"/>
      <c r="X166" s="101" t="str">
        <f t="shared" si="7"/>
        <v/>
      </c>
      <c r="Y166" s="122">
        <v>87</v>
      </c>
      <c r="Z166" s="106" t="s">
        <v>1192</v>
      </c>
      <c r="AA166" s="101" t="s">
        <v>1397</v>
      </c>
      <c r="AB166" s="101"/>
      <c r="AC166" s="101"/>
      <c r="AD166" s="174"/>
      <c r="AE166" s="174"/>
      <c r="AF166" s="174"/>
      <c r="AG166" s="174"/>
      <c r="AH166" s="174"/>
      <c r="AI166" s="174"/>
      <c r="AJ166" s="174"/>
      <c r="AK166" s="174"/>
      <c r="AL166" s="174"/>
    </row>
    <row r="167" spans="1:38" s="107" customFormat="1">
      <c r="A167" s="97">
        <v>35</v>
      </c>
      <c r="B167" s="103" t="s">
        <v>45</v>
      </c>
      <c r="C167" s="103">
        <v>1982</v>
      </c>
      <c r="D167" s="103" t="s">
        <v>46</v>
      </c>
      <c r="E167" s="99" t="s">
        <v>49</v>
      </c>
      <c r="F167" s="98" t="s">
        <v>50</v>
      </c>
      <c r="G167" s="98" t="s">
        <v>51</v>
      </c>
      <c r="H167" s="98" t="s">
        <v>23</v>
      </c>
      <c r="I167" s="98"/>
      <c r="J167" s="98" t="s">
        <v>1013</v>
      </c>
      <c r="K167" s="98" t="s">
        <v>1134</v>
      </c>
      <c r="L167" s="98" t="s">
        <v>52</v>
      </c>
      <c r="M167" s="98"/>
      <c r="N167" s="98"/>
      <c r="O167" s="98" t="s">
        <v>54</v>
      </c>
      <c r="P167" s="98"/>
      <c r="Q167" s="98"/>
      <c r="R167" s="98"/>
      <c r="S167" s="98"/>
      <c r="T167" s="98"/>
      <c r="U167" s="98"/>
      <c r="V167" s="98"/>
      <c r="W167" s="98"/>
      <c r="X167" s="101" t="str">
        <f t="shared" si="7"/>
        <v/>
      </c>
      <c r="Y167" s="122">
        <v>64</v>
      </c>
      <c r="Z167" s="106" t="s">
        <v>1192</v>
      </c>
      <c r="AA167" s="101" t="s">
        <v>1397</v>
      </c>
      <c r="AB167" s="101"/>
      <c r="AC167" s="101"/>
      <c r="AD167" s="174"/>
      <c r="AE167" s="174"/>
      <c r="AF167" s="174"/>
      <c r="AG167" s="174"/>
      <c r="AH167" s="174"/>
      <c r="AI167" s="174"/>
      <c r="AJ167" s="174"/>
      <c r="AK167" s="174"/>
      <c r="AL167" s="174"/>
    </row>
    <row r="168" spans="1:38" s="107" customFormat="1">
      <c r="A168" s="97">
        <v>35</v>
      </c>
      <c r="B168" s="103" t="s">
        <v>45</v>
      </c>
      <c r="C168" s="103">
        <v>1982</v>
      </c>
      <c r="D168" s="103" t="s">
        <v>46</v>
      </c>
      <c r="E168" s="99" t="s">
        <v>49</v>
      </c>
      <c r="F168" s="98" t="s">
        <v>50</v>
      </c>
      <c r="G168" s="98" t="s">
        <v>51</v>
      </c>
      <c r="H168" s="98" t="s">
        <v>23</v>
      </c>
      <c r="I168" s="98"/>
      <c r="J168" s="98" t="s">
        <v>1013</v>
      </c>
      <c r="K168" s="98" t="s">
        <v>1134</v>
      </c>
      <c r="L168" s="98" t="s">
        <v>52</v>
      </c>
      <c r="M168" s="98"/>
      <c r="N168" s="98"/>
      <c r="O168" s="98" t="s">
        <v>56</v>
      </c>
      <c r="P168" s="98"/>
      <c r="Q168" s="98"/>
      <c r="R168" s="98"/>
      <c r="S168" s="98"/>
      <c r="T168" s="98"/>
      <c r="U168" s="98"/>
      <c r="V168" s="98"/>
      <c r="W168" s="98"/>
      <c r="X168" s="101" t="str">
        <f t="shared" si="7"/>
        <v/>
      </c>
      <c r="Y168" s="122">
        <v>59</v>
      </c>
      <c r="Z168" s="106" t="s">
        <v>1192</v>
      </c>
      <c r="AA168" s="101" t="s">
        <v>1397</v>
      </c>
      <c r="AB168" s="101"/>
      <c r="AC168" s="101"/>
      <c r="AD168" s="174"/>
      <c r="AE168" s="174"/>
      <c r="AF168" s="174"/>
      <c r="AG168" s="174"/>
      <c r="AH168" s="174"/>
      <c r="AI168" s="174"/>
      <c r="AJ168" s="174"/>
      <c r="AK168" s="174"/>
      <c r="AL168" s="174"/>
    </row>
    <row r="169" spans="1:38" s="107" customFormat="1">
      <c r="A169" s="97">
        <v>35</v>
      </c>
      <c r="B169" s="103" t="s">
        <v>45</v>
      </c>
      <c r="C169" s="103">
        <v>1982</v>
      </c>
      <c r="D169" s="103" t="s">
        <v>46</v>
      </c>
      <c r="E169" s="99" t="s">
        <v>49</v>
      </c>
      <c r="F169" s="98" t="s">
        <v>50</v>
      </c>
      <c r="G169" s="98" t="s">
        <v>51</v>
      </c>
      <c r="H169" s="98" t="s">
        <v>23</v>
      </c>
      <c r="I169" s="98"/>
      <c r="J169" s="98" t="s">
        <v>1013</v>
      </c>
      <c r="K169" s="98" t="s">
        <v>1134</v>
      </c>
      <c r="L169" s="98" t="s">
        <v>52</v>
      </c>
      <c r="M169" s="98"/>
      <c r="N169" s="98"/>
      <c r="O169" s="98" t="s">
        <v>57</v>
      </c>
      <c r="P169" s="98"/>
      <c r="Q169" s="98"/>
      <c r="R169" s="98"/>
      <c r="S169" s="98"/>
      <c r="T169" s="98"/>
      <c r="U169" s="98"/>
      <c r="V169" s="98"/>
      <c r="W169" s="98"/>
      <c r="X169" s="101" t="str">
        <f t="shared" si="7"/>
        <v/>
      </c>
      <c r="Y169" s="122">
        <v>56</v>
      </c>
      <c r="Z169" s="106" t="s">
        <v>1192</v>
      </c>
      <c r="AA169" s="101" t="s">
        <v>1397</v>
      </c>
      <c r="AB169" s="101"/>
      <c r="AC169" s="101"/>
      <c r="AD169" s="174"/>
      <c r="AE169" s="174"/>
      <c r="AF169" s="174"/>
      <c r="AG169" s="174"/>
      <c r="AH169" s="174"/>
      <c r="AI169" s="174"/>
      <c r="AJ169" s="174"/>
      <c r="AK169" s="174"/>
      <c r="AL169" s="174"/>
    </row>
    <row r="170" spans="1:38" s="107" customFormat="1">
      <c r="A170" s="97">
        <v>35</v>
      </c>
      <c r="B170" s="103" t="s">
        <v>45</v>
      </c>
      <c r="C170" s="103">
        <v>1982</v>
      </c>
      <c r="D170" s="103" t="s">
        <v>46</v>
      </c>
      <c r="E170" s="99" t="s">
        <v>49</v>
      </c>
      <c r="F170" s="98" t="s">
        <v>50</v>
      </c>
      <c r="G170" s="98" t="s">
        <v>51</v>
      </c>
      <c r="H170" s="98" t="s">
        <v>23</v>
      </c>
      <c r="I170" s="98"/>
      <c r="J170" s="98" t="s">
        <v>1013</v>
      </c>
      <c r="K170" s="98" t="s">
        <v>1134</v>
      </c>
      <c r="L170" s="98" t="s">
        <v>52</v>
      </c>
      <c r="M170" s="98"/>
      <c r="N170" s="98"/>
      <c r="O170" s="98" t="s">
        <v>55</v>
      </c>
      <c r="P170" s="98"/>
      <c r="Q170" s="98"/>
      <c r="R170" s="98"/>
      <c r="S170" s="98"/>
      <c r="T170" s="98"/>
      <c r="U170" s="98"/>
      <c r="V170" s="98"/>
      <c r="W170" s="98"/>
      <c r="X170" s="101" t="str">
        <f t="shared" si="7"/>
        <v/>
      </c>
      <c r="Y170" s="122">
        <v>47</v>
      </c>
      <c r="Z170" s="106" t="s">
        <v>1192</v>
      </c>
      <c r="AA170" s="101" t="s">
        <v>1397</v>
      </c>
      <c r="AB170" s="101"/>
      <c r="AC170" s="101"/>
      <c r="AD170" s="174"/>
      <c r="AE170" s="174"/>
      <c r="AF170" s="174"/>
      <c r="AG170" s="174"/>
      <c r="AH170" s="174"/>
      <c r="AI170" s="174"/>
      <c r="AJ170" s="174"/>
      <c r="AK170" s="174"/>
      <c r="AL170" s="174"/>
    </row>
    <row r="171" spans="1:38" s="107" customFormat="1">
      <c r="A171" s="97">
        <v>37</v>
      </c>
      <c r="B171" s="103" t="s">
        <v>45</v>
      </c>
      <c r="C171" s="103">
        <v>1982</v>
      </c>
      <c r="D171" s="103" t="s">
        <v>92</v>
      </c>
      <c r="E171" s="99" t="s">
        <v>49</v>
      </c>
      <c r="F171" s="98">
        <v>1989</v>
      </c>
      <c r="G171" s="98" t="s">
        <v>94</v>
      </c>
      <c r="H171" s="98" t="s">
        <v>95</v>
      </c>
      <c r="I171" s="98"/>
      <c r="J171" s="98" t="s">
        <v>1013</v>
      </c>
      <c r="K171" s="98" t="s">
        <v>1134</v>
      </c>
      <c r="L171" s="98" t="s">
        <v>96</v>
      </c>
      <c r="M171" s="98"/>
      <c r="N171" s="98"/>
      <c r="O171" s="98" t="s">
        <v>102</v>
      </c>
      <c r="P171" s="98"/>
      <c r="Q171" s="98"/>
      <c r="R171" s="98"/>
      <c r="S171" s="98"/>
      <c r="T171" s="98"/>
      <c r="U171" s="98"/>
      <c r="V171" s="98">
        <v>46.2</v>
      </c>
      <c r="W171" s="98"/>
      <c r="X171" s="101" t="str">
        <f t="shared" si="7"/>
        <v/>
      </c>
      <c r="Y171" s="122">
        <f>+V171</f>
        <v>46.2</v>
      </c>
      <c r="Z171" s="106" t="s">
        <v>1192</v>
      </c>
      <c r="AA171" s="101" t="s">
        <v>1397</v>
      </c>
      <c r="AB171" s="101"/>
      <c r="AC171" s="101"/>
      <c r="AD171" s="174"/>
      <c r="AE171" s="174"/>
      <c r="AF171" s="174"/>
      <c r="AG171" s="174"/>
      <c r="AH171" s="174"/>
      <c r="AI171" s="174"/>
      <c r="AJ171" s="174"/>
      <c r="AK171" s="174"/>
      <c r="AL171" s="174"/>
    </row>
    <row r="172" spans="1:38" s="107" customFormat="1">
      <c r="A172" s="97">
        <v>46</v>
      </c>
      <c r="B172" s="103" t="s">
        <v>45</v>
      </c>
      <c r="C172" s="103">
        <v>1984</v>
      </c>
      <c r="D172" s="103" t="s">
        <v>113</v>
      </c>
      <c r="E172" s="99" t="s">
        <v>49</v>
      </c>
      <c r="F172" s="98">
        <v>1983</v>
      </c>
      <c r="G172" s="98" t="s">
        <v>116</v>
      </c>
      <c r="H172" s="98" t="s">
        <v>95</v>
      </c>
      <c r="I172" s="98"/>
      <c r="J172" s="98" t="s">
        <v>1013</v>
      </c>
      <c r="K172" s="98" t="s">
        <v>1134</v>
      </c>
      <c r="L172" s="98" t="s">
        <v>117</v>
      </c>
      <c r="M172" s="98"/>
      <c r="N172" s="98"/>
      <c r="O172" s="98" t="s">
        <v>134</v>
      </c>
      <c r="P172" s="98">
        <v>0.94</v>
      </c>
      <c r="Q172" s="98"/>
      <c r="R172" s="98">
        <f>+P172</f>
        <v>0.94</v>
      </c>
      <c r="S172" s="98"/>
      <c r="T172" s="98"/>
      <c r="U172" s="98"/>
      <c r="V172" s="98"/>
      <c r="W172" s="98"/>
      <c r="X172" s="101">
        <f t="shared" si="7"/>
        <v>0.94</v>
      </c>
      <c r="Y172" s="122">
        <v>56</v>
      </c>
      <c r="Z172" s="106" t="str">
        <f>IF(X172&lt;&gt;"",IF(X172&lt;0.9,"S","F"),"")</f>
        <v>F</v>
      </c>
      <c r="AA172" s="101" t="s">
        <v>1397</v>
      </c>
      <c r="AB172" s="101"/>
      <c r="AC172" s="101"/>
      <c r="AD172" s="174"/>
      <c r="AE172" s="174"/>
      <c r="AF172" s="174"/>
      <c r="AG172" s="174"/>
      <c r="AH172" s="174"/>
      <c r="AI172" s="174"/>
      <c r="AJ172" s="174"/>
      <c r="AK172" s="174"/>
      <c r="AL172" s="174"/>
    </row>
    <row r="173" spans="1:38" s="107" customFormat="1">
      <c r="A173" s="97">
        <v>35</v>
      </c>
      <c r="B173" s="103" t="s">
        <v>45</v>
      </c>
      <c r="C173" s="103">
        <v>1982</v>
      </c>
      <c r="D173" s="103" t="s">
        <v>46</v>
      </c>
      <c r="E173" s="99" t="s">
        <v>49</v>
      </c>
      <c r="F173" s="98" t="s">
        <v>50</v>
      </c>
      <c r="G173" s="98" t="s">
        <v>51</v>
      </c>
      <c r="H173" s="98" t="s">
        <v>23</v>
      </c>
      <c r="I173" s="98"/>
      <c r="J173" s="98" t="s">
        <v>1013</v>
      </c>
      <c r="K173" s="98" t="s">
        <v>1134</v>
      </c>
      <c r="L173" s="98" t="s">
        <v>52</v>
      </c>
      <c r="M173" s="98"/>
      <c r="N173" s="98"/>
      <c r="O173" s="98" t="s">
        <v>69</v>
      </c>
      <c r="P173" s="98">
        <v>0.91</v>
      </c>
      <c r="Q173" s="98"/>
      <c r="R173" s="98">
        <f>+P173</f>
        <v>0.91</v>
      </c>
      <c r="S173" s="98"/>
      <c r="T173" s="98"/>
      <c r="U173" s="98"/>
      <c r="V173" s="98">
        <v>67</v>
      </c>
      <c r="W173" s="98"/>
      <c r="X173" s="101">
        <f t="shared" si="7"/>
        <v>0.91</v>
      </c>
      <c r="Y173" s="122">
        <f>+V173</f>
        <v>67</v>
      </c>
      <c r="Z173" s="106" t="str">
        <f>IF(X173&lt;&gt;"",IF(X173&lt;0.9,"S","F"),"")</f>
        <v>F</v>
      </c>
      <c r="AA173" s="101" t="s">
        <v>1397</v>
      </c>
      <c r="AB173" s="101"/>
      <c r="AC173" s="101"/>
      <c r="AD173" s="174"/>
      <c r="AE173" s="174"/>
      <c r="AF173" s="174"/>
      <c r="AG173" s="174"/>
      <c r="AH173" s="174"/>
      <c r="AI173" s="174"/>
      <c r="AJ173" s="174"/>
      <c r="AK173" s="174"/>
      <c r="AL173" s="174"/>
    </row>
    <row r="174" spans="1:38" s="107" customFormat="1">
      <c r="A174" s="97">
        <v>35</v>
      </c>
      <c r="B174" s="103" t="s">
        <v>45</v>
      </c>
      <c r="C174" s="103">
        <v>1982</v>
      </c>
      <c r="D174" s="103" t="s">
        <v>46</v>
      </c>
      <c r="E174" s="99" t="s">
        <v>49</v>
      </c>
      <c r="F174" s="98" t="s">
        <v>50</v>
      </c>
      <c r="G174" s="98" t="s">
        <v>51</v>
      </c>
      <c r="H174" s="98" t="s">
        <v>23</v>
      </c>
      <c r="I174" s="98"/>
      <c r="J174" s="98" t="s">
        <v>1013</v>
      </c>
      <c r="K174" s="98" t="s">
        <v>1134</v>
      </c>
      <c r="L174" s="98" t="s">
        <v>52</v>
      </c>
      <c r="M174" s="98"/>
      <c r="N174" s="98"/>
      <c r="O174" s="98" t="s">
        <v>67</v>
      </c>
      <c r="P174" s="98">
        <v>0.9</v>
      </c>
      <c r="Q174" s="98"/>
      <c r="R174" s="98">
        <f>+P174</f>
        <v>0.9</v>
      </c>
      <c r="S174" s="98"/>
      <c r="T174" s="98"/>
      <c r="U174" s="98"/>
      <c r="V174" s="98">
        <v>85</v>
      </c>
      <c r="W174" s="98"/>
      <c r="X174" s="101">
        <f t="shared" si="7"/>
        <v>0.9</v>
      </c>
      <c r="Y174" s="122">
        <f>+V174</f>
        <v>85</v>
      </c>
      <c r="Z174" s="106" t="str">
        <f>IF(X174&lt;&gt;"",IF(X174&lt;0.9,"S","F"),"")</f>
        <v>F</v>
      </c>
      <c r="AA174" s="101" t="s">
        <v>1397</v>
      </c>
      <c r="AB174" s="101"/>
      <c r="AC174" s="101"/>
      <c r="AD174" s="174"/>
      <c r="AE174" s="174"/>
      <c r="AF174" s="174"/>
      <c r="AG174" s="174"/>
      <c r="AH174" s="174"/>
      <c r="AI174" s="174"/>
      <c r="AJ174" s="174"/>
      <c r="AK174" s="174"/>
      <c r="AL174" s="174"/>
    </row>
    <row r="175" spans="1:38" s="107" customFormat="1">
      <c r="A175" s="97">
        <v>46</v>
      </c>
      <c r="B175" s="103" t="s">
        <v>45</v>
      </c>
      <c r="C175" s="103">
        <v>1984</v>
      </c>
      <c r="D175" s="103" t="s">
        <v>113</v>
      </c>
      <c r="E175" s="99" t="s">
        <v>49</v>
      </c>
      <c r="F175" s="98">
        <v>1983</v>
      </c>
      <c r="G175" s="98" t="s">
        <v>116</v>
      </c>
      <c r="H175" s="98" t="s">
        <v>95</v>
      </c>
      <c r="I175" s="98"/>
      <c r="J175" s="98" t="s">
        <v>1013</v>
      </c>
      <c r="K175" s="98" t="s">
        <v>1134</v>
      </c>
      <c r="L175" s="98" t="s">
        <v>117</v>
      </c>
      <c r="M175" s="98"/>
      <c r="N175" s="98"/>
      <c r="O175" s="98" t="s">
        <v>131</v>
      </c>
      <c r="P175" s="98">
        <v>0.9</v>
      </c>
      <c r="Q175" s="98"/>
      <c r="R175" s="98">
        <f>+P175</f>
        <v>0.9</v>
      </c>
      <c r="S175" s="98"/>
      <c r="T175" s="98"/>
      <c r="U175" s="98"/>
      <c r="V175" s="98"/>
      <c r="W175" s="98"/>
      <c r="X175" s="101">
        <f t="shared" si="7"/>
        <v>0.9</v>
      </c>
      <c r="Y175" s="122">
        <v>82</v>
      </c>
      <c r="Z175" s="106" t="str">
        <f>IF(X175&lt;&gt;"",IF(X175&lt;0.9,"S","F"),"")</f>
        <v>F</v>
      </c>
      <c r="AA175" s="101" t="s">
        <v>1397</v>
      </c>
      <c r="AB175" s="101"/>
      <c r="AC175" s="101"/>
      <c r="AD175" s="174"/>
      <c r="AE175" s="174"/>
      <c r="AF175" s="174"/>
      <c r="AG175" s="174"/>
      <c r="AH175" s="174"/>
      <c r="AI175" s="174"/>
      <c r="AJ175" s="174"/>
      <c r="AK175" s="174"/>
      <c r="AL175" s="174"/>
    </row>
    <row r="176" spans="1:38" s="107" customFormat="1">
      <c r="A176" s="97">
        <v>37</v>
      </c>
      <c r="B176" s="103" t="s">
        <v>45</v>
      </c>
      <c r="C176" s="103">
        <v>1982</v>
      </c>
      <c r="D176" s="103" t="s">
        <v>92</v>
      </c>
      <c r="E176" s="99" t="s">
        <v>49</v>
      </c>
      <c r="F176" s="98">
        <v>1989</v>
      </c>
      <c r="G176" s="98" t="s">
        <v>94</v>
      </c>
      <c r="H176" s="98" t="s">
        <v>95</v>
      </c>
      <c r="I176" s="98"/>
      <c r="J176" s="98" t="s">
        <v>1013</v>
      </c>
      <c r="K176" s="98" t="s">
        <v>1134</v>
      </c>
      <c r="L176" s="98" t="s">
        <v>96</v>
      </c>
      <c r="M176" s="98"/>
      <c r="N176" s="98"/>
      <c r="O176" s="98" t="s">
        <v>1197</v>
      </c>
      <c r="P176" s="98"/>
      <c r="Q176" s="98"/>
      <c r="R176" s="98"/>
      <c r="S176" s="98"/>
      <c r="T176" s="98"/>
      <c r="U176" s="98"/>
      <c r="V176" s="98"/>
      <c r="W176" s="98"/>
      <c r="X176" s="101" t="str">
        <f t="shared" si="7"/>
        <v/>
      </c>
      <c r="Y176" s="122">
        <v>263</v>
      </c>
      <c r="Z176" s="106" t="s">
        <v>1193</v>
      </c>
      <c r="AA176" s="101" t="s">
        <v>1397</v>
      </c>
      <c r="AB176" s="101"/>
      <c r="AC176" s="101"/>
      <c r="AD176" s="174"/>
      <c r="AE176" s="174"/>
      <c r="AF176" s="174"/>
      <c r="AG176" s="174"/>
      <c r="AH176" s="174"/>
      <c r="AI176" s="174"/>
      <c r="AJ176" s="174"/>
      <c r="AK176" s="174"/>
      <c r="AL176" s="174"/>
    </row>
    <row r="177" spans="1:38" s="107" customFormat="1">
      <c r="A177" s="97">
        <v>35</v>
      </c>
      <c r="B177" s="103" t="s">
        <v>45</v>
      </c>
      <c r="C177" s="103">
        <v>1982</v>
      </c>
      <c r="D177" s="103" t="s">
        <v>46</v>
      </c>
      <c r="E177" s="99" t="s">
        <v>49</v>
      </c>
      <c r="F177" s="98" t="s">
        <v>50</v>
      </c>
      <c r="G177" s="98" t="s">
        <v>51</v>
      </c>
      <c r="H177" s="98" t="s">
        <v>23</v>
      </c>
      <c r="I177" s="98"/>
      <c r="J177" s="98" t="s">
        <v>1013</v>
      </c>
      <c r="K177" s="98" t="s">
        <v>1134</v>
      </c>
      <c r="L177" s="98" t="s">
        <v>52</v>
      </c>
      <c r="M177" s="98"/>
      <c r="N177" s="98"/>
      <c r="O177" s="98" t="s">
        <v>66</v>
      </c>
      <c r="P177" s="98"/>
      <c r="Q177" s="98"/>
      <c r="R177" s="98"/>
      <c r="S177" s="98"/>
      <c r="T177" s="98"/>
      <c r="U177" s="98"/>
      <c r="V177" s="98"/>
      <c r="W177" s="98"/>
      <c r="X177" s="101" t="str">
        <f t="shared" si="7"/>
        <v/>
      </c>
      <c r="Y177" s="122">
        <v>226</v>
      </c>
      <c r="Z177" s="106" t="s">
        <v>1193</v>
      </c>
      <c r="AA177" s="101" t="s">
        <v>1397</v>
      </c>
      <c r="AB177" s="101"/>
      <c r="AC177" s="101"/>
      <c r="AD177" s="174"/>
      <c r="AE177" s="174"/>
      <c r="AF177" s="174"/>
      <c r="AG177" s="174"/>
      <c r="AH177" s="174"/>
      <c r="AI177" s="174"/>
      <c r="AJ177" s="174"/>
      <c r="AK177" s="174"/>
      <c r="AL177" s="174"/>
    </row>
    <row r="178" spans="1:38" s="107" customFormat="1">
      <c r="A178" s="97">
        <v>35</v>
      </c>
      <c r="B178" s="103" t="s">
        <v>45</v>
      </c>
      <c r="C178" s="103">
        <v>1982</v>
      </c>
      <c r="D178" s="103" t="s">
        <v>46</v>
      </c>
      <c r="E178" s="99" t="s">
        <v>49</v>
      </c>
      <c r="F178" s="98" t="s">
        <v>50</v>
      </c>
      <c r="G178" s="98" t="s">
        <v>51</v>
      </c>
      <c r="H178" s="98" t="s">
        <v>23</v>
      </c>
      <c r="I178" s="98"/>
      <c r="J178" s="98" t="s">
        <v>1013</v>
      </c>
      <c r="K178" s="98" t="s">
        <v>1134</v>
      </c>
      <c r="L178" s="98" t="s">
        <v>52</v>
      </c>
      <c r="M178" s="98"/>
      <c r="N178" s="98"/>
      <c r="O178" s="98" t="s">
        <v>64</v>
      </c>
      <c r="P178" s="98"/>
      <c r="Q178" s="98"/>
      <c r="R178" s="98"/>
      <c r="S178" s="98"/>
      <c r="T178" s="98"/>
      <c r="U178" s="98"/>
      <c r="V178" s="98"/>
      <c r="W178" s="98"/>
      <c r="X178" s="101" t="str">
        <f t="shared" si="7"/>
        <v/>
      </c>
      <c r="Y178" s="122">
        <v>216</v>
      </c>
      <c r="Z178" s="106" t="s">
        <v>1193</v>
      </c>
      <c r="AA178" s="101" t="s">
        <v>1397</v>
      </c>
      <c r="AB178" s="101"/>
      <c r="AC178" s="101"/>
      <c r="AD178" s="174"/>
      <c r="AE178" s="174"/>
      <c r="AF178" s="174"/>
      <c r="AG178" s="174"/>
      <c r="AH178" s="174"/>
      <c r="AI178" s="174"/>
      <c r="AJ178" s="174"/>
      <c r="AK178" s="174"/>
      <c r="AL178" s="174"/>
    </row>
    <row r="179" spans="1:38" s="107" customFormat="1">
      <c r="A179" s="97">
        <v>35</v>
      </c>
      <c r="B179" s="103" t="s">
        <v>45</v>
      </c>
      <c r="C179" s="103">
        <v>1982</v>
      </c>
      <c r="D179" s="103" t="s">
        <v>46</v>
      </c>
      <c r="E179" s="99" t="s">
        <v>49</v>
      </c>
      <c r="F179" s="98" t="s">
        <v>50</v>
      </c>
      <c r="G179" s="98" t="s">
        <v>51</v>
      </c>
      <c r="H179" s="98" t="s">
        <v>23</v>
      </c>
      <c r="I179" s="98"/>
      <c r="J179" s="98" t="s">
        <v>1013</v>
      </c>
      <c r="K179" s="98" t="s">
        <v>1134</v>
      </c>
      <c r="L179" s="98" t="s">
        <v>52</v>
      </c>
      <c r="M179" s="98"/>
      <c r="N179" s="98"/>
      <c r="O179" s="98" t="s">
        <v>65</v>
      </c>
      <c r="P179" s="98"/>
      <c r="Q179" s="98"/>
      <c r="R179" s="98"/>
      <c r="S179" s="98"/>
      <c r="T179" s="98"/>
      <c r="U179" s="98"/>
      <c r="V179" s="98"/>
      <c r="W179" s="98"/>
      <c r="X179" s="101" t="str">
        <f t="shared" si="7"/>
        <v/>
      </c>
      <c r="Y179" s="122">
        <v>212</v>
      </c>
      <c r="Z179" s="106" t="s">
        <v>1193</v>
      </c>
      <c r="AA179" s="101" t="s">
        <v>1397</v>
      </c>
      <c r="AB179" s="101"/>
      <c r="AC179" s="101"/>
      <c r="AD179" s="174"/>
      <c r="AE179" s="174"/>
      <c r="AF179" s="174"/>
      <c r="AG179" s="174"/>
      <c r="AH179" s="174"/>
      <c r="AI179" s="174"/>
      <c r="AJ179" s="174"/>
      <c r="AK179" s="174"/>
      <c r="AL179" s="174"/>
    </row>
    <row r="180" spans="1:38" s="107" customFormat="1">
      <c r="A180" s="97">
        <v>35</v>
      </c>
      <c r="B180" s="103" t="s">
        <v>45</v>
      </c>
      <c r="C180" s="103">
        <v>1982</v>
      </c>
      <c r="D180" s="103" t="s">
        <v>46</v>
      </c>
      <c r="E180" s="99" t="s">
        <v>49</v>
      </c>
      <c r="F180" s="98" t="s">
        <v>50</v>
      </c>
      <c r="G180" s="98" t="s">
        <v>51</v>
      </c>
      <c r="H180" s="98" t="s">
        <v>23</v>
      </c>
      <c r="I180" s="98"/>
      <c r="J180" s="98" t="s">
        <v>1013</v>
      </c>
      <c r="K180" s="98" t="s">
        <v>1134</v>
      </c>
      <c r="L180" s="98" t="s">
        <v>52</v>
      </c>
      <c r="M180" s="98"/>
      <c r="N180" s="98"/>
      <c r="O180" s="98" t="s">
        <v>58</v>
      </c>
      <c r="P180" s="98"/>
      <c r="Q180" s="98"/>
      <c r="R180" s="98"/>
      <c r="S180" s="98"/>
      <c r="T180" s="98"/>
      <c r="U180" s="98"/>
      <c r="V180" s="98"/>
      <c r="W180" s="98"/>
      <c r="X180" s="101" t="str">
        <f t="shared" si="7"/>
        <v/>
      </c>
      <c r="Y180" s="122">
        <v>208</v>
      </c>
      <c r="Z180" s="106" t="s">
        <v>1193</v>
      </c>
      <c r="AA180" s="101" t="s">
        <v>1397</v>
      </c>
      <c r="AB180" s="101"/>
      <c r="AC180" s="101"/>
      <c r="AD180" s="174"/>
      <c r="AE180" s="174"/>
      <c r="AF180" s="174"/>
      <c r="AG180" s="174"/>
      <c r="AH180" s="174"/>
      <c r="AI180" s="174"/>
      <c r="AJ180" s="174"/>
      <c r="AK180" s="174"/>
      <c r="AL180" s="174"/>
    </row>
    <row r="181" spans="1:38" s="107" customFormat="1">
      <c r="A181" s="97">
        <v>35</v>
      </c>
      <c r="B181" s="103" t="s">
        <v>45</v>
      </c>
      <c r="C181" s="103">
        <v>1982</v>
      </c>
      <c r="D181" s="103" t="s">
        <v>46</v>
      </c>
      <c r="E181" s="99" t="s">
        <v>49</v>
      </c>
      <c r="F181" s="98" t="s">
        <v>50</v>
      </c>
      <c r="G181" s="98" t="s">
        <v>51</v>
      </c>
      <c r="H181" s="98" t="s">
        <v>23</v>
      </c>
      <c r="I181" s="98"/>
      <c r="J181" s="98" t="s">
        <v>1013</v>
      </c>
      <c r="K181" s="98" t="s">
        <v>1134</v>
      </c>
      <c r="L181" s="98" t="s">
        <v>52</v>
      </c>
      <c r="M181" s="98"/>
      <c r="N181" s="98"/>
      <c r="O181" s="98" t="s">
        <v>59</v>
      </c>
      <c r="P181" s="98"/>
      <c r="Q181" s="98"/>
      <c r="R181" s="98"/>
      <c r="S181" s="98"/>
      <c r="T181" s="98"/>
      <c r="U181" s="98"/>
      <c r="V181" s="98"/>
      <c r="W181" s="98"/>
      <c r="X181" s="101" t="str">
        <f t="shared" si="7"/>
        <v/>
      </c>
      <c r="Y181" s="122">
        <v>196</v>
      </c>
      <c r="Z181" s="106" t="s">
        <v>1193</v>
      </c>
      <c r="AA181" s="101" t="s">
        <v>1397</v>
      </c>
      <c r="AB181" s="101"/>
      <c r="AC181" s="101"/>
      <c r="AD181" s="174"/>
      <c r="AE181" s="174"/>
      <c r="AF181" s="174"/>
      <c r="AG181" s="174"/>
      <c r="AH181" s="174"/>
      <c r="AI181" s="174"/>
      <c r="AJ181" s="174"/>
      <c r="AK181" s="174"/>
      <c r="AL181" s="174"/>
    </row>
    <row r="182" spans="1:38" s="107" customFormat="1">
      <c r="A182" s="97">
        <v>35</v>
      </c>
      <c r="B182" s="103" t="s">
        <v>45</v>
      </c>
      <c r="C182" s="103">
        <v>1982</v>
      </c>
      <c r="D182" s="103" t="s">
        <v>46</v>
      </c>
      <c r="E182" s="99" t="s">
        <v>49</v>
      </c>
      <c r="F182" s="98" t="s">
        <v>50</v>
      </c>
      <c r="G182" s="98" t="s">
        <v>51</v>
      </c>
      <c r="H182" s="98" t="s">
        <v>23</v>
      </c>
      <c r="I182" s="98"/>
      <c r="J182" s="98" t="s">
        <v>1013</v>
      </c>
      <c r="K182" s="98" t="s">
        <v>1134</v>
      </c>
      <c r="L182" s="98" t="s">
        <v>52</v>
      </c>
      <c r="M182" s="98"/>
      <c r="N182" s="98"/>
      <c r="O182" s="98" t="s">
        <v>60</v>
      </c>
      <c r="P182" s="98"/>
      <c r="Q182" s="98"/>
      <c r="R182" s="98"/>
      <c r="S182" s="98"/>
      <c r="T182" s="98"/>
      <c r="U182" s="98"/>
      <c r="V182" s="98"/>
      <c r="W182" s="98"/>
      <c r="X182" s="101" t="str">
        <f t="shared" si="7"/>
        <v/>
      </c>
      <c r="Y182" s="122">
        <v>195</v>
      </c>
      <c r="Z182" s="106" t="s">
        <v>1193</v>
      </c>
      <c r="AA182" s="101" t="s">
        <v>1397</v>
      </c>
      <c r="AB182" s="101"/>
      <c r="AC182" s="101"/>
      <c r="AD182" s="174"/>
      <c r="AE182" s="174"/>
      <c r="AF182" s="174"/>
      <c r="AG182" s="174"/>
      <c r="AH182" s="174"/>
      <c r="AI182" s="174"/>
      <c r="AJ182" s="174"/>
      <c r="AK182" s="174"/>
      <c r="AL182" s="174"/>
    </row>
    <row r="183" spans="1:38" s="107" customFormat="1">
      <c r="A183" s="97">
        <v>35</v>
      </c>
      <c r="B183" s="103" t="s">
        <v>45</v>
      </c>
      <c r="C183" s="103">
        <v>1982</v>
      </c>
      <c r="D183" s="103" t="s">
        <v>46</v>
      </c>
      <c r="E183" s="99" t="s">
        <v>49</v>
      </c>
      <c r="F183" s="98" t="s">
        <v>50</v>
      </c>
      <c r="G183" s="98" t="s">
        <v>51</v>
      </c>
      <c r="H183" s="98" t="s">
        <v>23</v>
      </c>
      <c r="I183" s="98"/>
      <c r="J183" s="98" t="s">
        <v>1013</v>
      </c>
      <c r="K183" s="98" t="s">
        <v>1134</v>
      </c>
      <c r="L183" s="98" t="s">
        <v>52</v>
      </c>
      <c r="M183" s="98"/>
      <c r="N183" s="98"/>
      <c r="O183" s="98" t="s">
        <v>61</v>
      </c>
      <c r="P183" s="98"/>
      <c r="Q183" s="98"/>
      <c r="R183" s="98"/>
      <c r="S183" s="98"/>
      <c r="T183" s="98"/>
      <c r="U183" s="98"/>
      <c r="V183" s="98"/>
      <c r="W183" s="98"/>
      <c r="X183" s="101" t="str">
        <f t="shared" si="7"/>
        <v/>
      </c>
      <c r="Y183" s="122">
        <v>187</v>
      </c>
      <c r="Z183" s="106" t="s">
        <v>1193</v>
      </c>
      <c r="AA183" s="101" t="s">
        <v>1397</v>
      </c>
      <c r="AB183" s="101"/>
      <c r="AC183" s="101"/>
      <c r="AD183" s="174"/>
      <c r="AE183" s="174"/>
      <c r="AF183" s="174"/>
      <c r="AG183" s="174"/>
      <c r="AH183" s="174"/>
      <c r="AI183" s="174"/>
      <c r="AJ183" s="174"/>
      <c r="AK183" s="174"/>
      <c r="AL183" s="174"/>
    </row>
    <row r="184" spans="1:38" s="107" customFormat="1">
      <c r="A184" s="97">
        <v>35</v>
      </c>
      <c r="B184" s="103" t="s">
        <v>45</v>
      </c>
      <c r="C184" s="103">
        <v>1982</v>
      </c>
      <c r="D184" s="103" t="s">
        <v>46</v>
      </c>
      <c r="E184" s="99" t="s">
        <v>49</v>
      </c>
      <c r="F184" s="98" t="s">
        <v>50</v>
      </c>
      <c r="G184" s="98" t="s">
        <v>51</v>
      </c>
      <c r="H184" s="98" t="s">
        <v>23</v>
      </c>
      <c r="I184" s="98"/>
      <c r="J184" s="98" t="s">
        <v>1013</v>
      </c>
      <c r="K184" s="98" t="s">
        <v>1134</v>
      </c>
      <c r="L184" s="98" t="s">
        <v>52</v>
      </c>
      <c r="M184" s="98"/>
      <c r="N184" s="98"/>
      <c r="O184" s="98" t="s">
        <v>62</v>
      </c>
      <c r="P184" s="98"/>
      <c r="Q184" s="98"/>
      <c r="R184" s="98"/>
      <c r="S184" s="98"/>
      <c r="T184" s="98"/>
      <c r="U184" s="98"/>
      <c r="V184" s="98"/>
      <c r="W184" s="98"/>
      <c r="X184" s="101" t="str">
        <f t="shared" si="7"/>
        <v/>
      </c>
      <c r="Y184" s="122">
        <v>180</v>
      </c>
      <c r="Z184" s="106" t="s">
        <v>1193</v>
      </c>
      <c r="AA184" s="101" t="s">
        <v>1397</v>
      </c>
      <c r="AB184" s="101"/>
      <c r="AC184" s="101"/>
      <c r="AD184" s="174"/>
      <c r="AE184" s="174"/>
      <c r="AF184" s="174"/>
      <c r="AG184" s="174"/>
      <c r="AH184" s="174"/>
      <c r="AI184" s="174"/>
      <c r="AJ184" s="174"/>
      <c r="AK184" s="174"/>
      <c r="AL184" s="174"/>
    </row>
    <row r="185" spans="1:38" s="107" customFormat="1">
      <c r="A185" s="97">
        <v>35</v>
      </c>
      <c r="B185" s="103" t="s">
        <v>45</v>
      </c>
      <c r="C185" s="103">
        <v>1982</v>
      </c>
      <c r="D185" s="103" t="s">
        <v>46</v>
      </c>
      <c r="E185" s="99" t="s">
        <v>49</v>
      </c>
      <c r="F185" s="98" t="s">
        <v>50</v>
      </c>
      <c r="G185" s="98" t="s">
        <v>51</v>
      </c>
      <c r="H185" s="98" t="s">
        <v>23</v>
      </c>
      <c r="I185" s="98"/>
      <c r="J185" s="98" t="s">
        <v>1013</v>
      </c>
      <c r="K185" s="98" t="s">
        <v>1134</v>
      </c>
      <c r="L185" s="98" t="s">
        <v>52</v>
      </c>
      <c r="M185" s="98"/>
      <c r="N185" s="98"/>
      <c r="O185" s="98" t="s">
        <v>63</v>
      </c>
      <c r="P185" s="98"/>
      <c r="Q185" s="98"/>
      <c r="R185" s="98"/>
      <c r="S185" s="98"/>
      <c r="T185" s="98"/>
      <c r="U185" s="98"/>
      <c r="V185" s="98"/>
      <c r="W185" s="98"/>
      <c r="X185" s="101" t="str">
        <f t="shared" si="7"/>
        <v/>
      </c>
      <c r="Y185" s="122">
        <v>162</v>
      </c>
      <c r="Z185" s="106" t="s">
        <v>1193</v>
      </c>
      <c r="AA185" s="101" t="s">
        <v>1397</v>
      </c>
      <c r="AB185" s="101"/>
      <c r="AC185" s="101"/>
      <c r="AD185" s="174"/>
      <c r="AE185" s="174"/>
      <c r="AF185" s="174"/>
      <c r="AG185" s="174"/>
      <c r="AH185" s="174"/>
      <c r="AI185" s="174"/>
      <c r="AJ185" s="174"/>
      <c r="AK185" s="174"/>
      <c r="AL185" s="174"/>
    </row>
    <row r="186" spans="1:38" s="107" customFormat="1">
      <c r="A186" s="97">
        <v>37</v>
      </c>
      <c r="B186" s="103" t="s">
        <v>45</v>
      </c>
      <c r="C186" s="103">
        <v>1982</v>
      </c>
      <c r="D186" s="103" t="s">
        <v>92</v>
      </c>
      <c r="E186" s="99" t="s">
        <v>49</v>
      </c>
      <c r="F186" s="98">
        <v>1989</v>
      </c>
      <c r="G186" s="98" t="s">
        <v>94</v>
      </c>
      <c r="H186" s="98" t="s">
        <v>95</v>
      </c>
      <c r="I186" s="98"/>
      <c r="J186" s="98" t="s">
        <v>1013</v>
      </c>
      <c r="K186" s="98" t="s">
        <v>1134</v>
      </c>
      <c r="L186" s="98" t="s">
        <v>96</v>
      </c>
      <c r="M186" s="98"/>
      <c r="N186" s="98"/>
      <c r="O186" s="98" t="s">
        <v>102</v>
      </c>
      <c r="P186" s="98"/>
      <c r="Q186" s="98"/>
      <c r="R186" s="98"/>
      <c r="S186" s="98"/>
      <c r="T186" s="98"/>
      <c r="U186" s="98"/>
      <c r="V186" s="98"/>
      <c r="W186" s="98">
        <v>154</v>
      </c>
      <c r="X186" s="101" t="str">
        <f t="shared" si="7"/>
        <v/>
      </c>
      <c r="Y186" s="122">
        <f>+W186</f>
        <v>154</v>
      </c>
      <c r="Z186" s="106" t="s">
        <v>1193</v>
      </c>
      <c r="AA186" s="101" t="s">
        <v>1397</v>
      </c>
      <c r="AB186" s="101"/>
      <c r="AC186" s="101"/>
      <c r="AD186" s="174"/>
      <c r="AE186" s="174"/>
      <c r="AF186" s="174"/>
      <c r="AG186" s="174"/>
      <c r="AH186" s="174"/>
      <c r="AI186" s="174"/>
      <c r="AJ186" s="174"/>
      <c r="AK186" s="174"/>
      <c r="AL186" s="174"/>
    </row>
    <row r="187" spans="1:38" s="107" customFormat="1">
      <c r="A187" s="97">
        <v>46</v>
      </c>
      <c r="B187" s="103" t="s">
        <v>45</v>
      </c>
      <c r="C187" s="103">
        <v>1984</v>
      </c>
      <c r="D187" s="103" t="s">
        <v>113</v>
      </c>
      <c r="E187" s="99" t="s">
        <v>49</v>
      </c>
      <c r="F187" s="98">
        <v>1983</v>
      </c>
      <c r="G187" s="98" t="s">
        <v>116</v>
      </c>
      <c r="H187" s="98" t="s">
        <v>95</v>
      </c>
      <c r="I187" s="98"/>
      <c r="J187" s="98" t="s">
        <v>1013</v>
      </c>
      <c r="K187" s="98" t="s">
        <v>1134</v>
      </c>
      <c r="L187" s="98" t="s">
        <v>117</v>
      </c>
      <c r="M187" s="98"/>
      <c r="N187" s="98"/>
      <c r="O187" s="98" t="s">
        <v>123</v>
      </c>
      <c r="P187" s="98">
        <v>0.89</v>
      </c>
      <c r="Q187" s="98"/>
      <c r="R187" s="98">
        <f>+P187</f>
        <v>0.89</v>
      </c>
      <c r="S187" s="98"/>
      <c r="T187" s="98"/>
      <c r="U187" s="98"/>
      <c r="V187" s="98"/>
      <c r="W187" s="98"/>
      <c r="X187" s="101">
        <f t="shared" si="7"/>
        <v>0.89</v>
      </c>
      <c r="Y187" s="122">
        <v>112</v>
      </c>
      <c r="Z187" s="106" t="str">
        <f t="shared" ref="Z187:Z213" si="9">IF(X187&lt;&gt;"",IF(X187&lt;0.9,"S","F"),"")</f>
        <v>S</v>
      </c>
      <c r="AA187" s="101" t="s">
        <v>1397</v>
      </c>
      <c r="AB187" s="101"/>
      <c r="AC187" s="101"/>
      <c r="AD187" s="174"/>
      <c r="AE187" s="174"/>
      <c r="AF187" s="174"/>
      <c r="AG187" s="174"/>
      <c r="AH187" s="174"/>
      <c r="AI187" s="174"/>
      <c r="AJ187" s="174"/>
      <c r="AK187" s="174"/>
      <c r="AL187" s="174"/>
    </row>
    <row r="188" spans="1:38" s="107" customFormat="1">
      <c r="A188" s="97">
        <v>46</v>
      </c>
      <c r="B188" s="103" t="s">
        <v>45</v>
      </c>
      <c r="C188" s="103">
        <v>1984</v>
      </c>
      <c r="D188" s="103" t="s">
        <v>113</v>
      </c>
      <c r="E188" s="99" t="s">
        <v>49</v>
      </c>
      <c r="F188" s="98">
        <v>1983</v>
      </c>
      <c r="G188" s="98" t="s">
        <v>116</v>
      </c>
      <c r="H188" s="98" t="s">
        <v>95</v>
      </c>
      <c r="I188" s="98"/>
      <c r="J188" s="98" t="s">
        <v>1013</v>
      </c>
      <c r="K188" s="98" t="s">
        <v>1134</v>
      </c>
      <c r="L188" s="98" t="s">
        <v>117</v>
      </c>
      <c r="M188" s="98"/>
      <c r="N188" s="98"/>
      <c r="O188" s="98" t="s">
        <v>126</v>
      </c>
      <c r="P188" s="98">
        <v>0.89</v>
      </c>
      <c r="Q188" s="98"/>
      <c r="R188" s="98">
        <f>+P188</f>
        <v>0.89</v>
      </c>
      <c r="S188" s="98"/>
      <c r="T188" s="98"/>
      <c r="U188" s="98"/>
      <c r="V188" s="98"/>
      <c r="W188" s="98"/>
      <c r="X188" s="101">
        <f t="shared" si="7"/>
        <v>0.89</v>
      </c>
      <c r="Y188" s="122">
        <v>101</v>
      </c>
      <c r="Z188" s="106" t="str">
        <f t="shared" si="9"/>
        <v>S</v>
      </c>
      <c r="AA188" s="101" t="s">
        <v>1397</v>
      </c>
      <c r="AB188" s="101"/>
      <c r="AC188" s="101"/>
      <c r="AD188" s="174"/>
      <c r="AE188" s="174"/>
      <c r="AF188" s="174"/>
      <c r="AG188" s="174"/>
      <c r="AH188" s="174"/>
      <c r="AI188" s="174"/>
      <c r="AJ188" s="174"/>
      <c r="AK188" s="174"/>
      <c r="AL188" s="174"/>
    </row>
    <row r="189" spans="1:38" s="107" customFormat="1">
      <c r="A189" s="97">
        <v>46</v>
      </c>
      <c r="B189" s="103" t="s">
        <v>45</v>
      </c>
      <c r="C189" s="103">
        <v>1984</v>
      </c>
      <c r="D189" s="103" t="s">
        <v>113</v>
      </c>
      <c r="E189" s="99" t="s">
        <v>49</v>
      </c>
      <c r="F189" s="98">
        <v>1983</v>
      </c>
      <c r="G189" s="98" t="s">
        <v>116</v>
      </c>
      <c r="H189" s="98" t="s">
        <v>95</v>
      </c>
      <c r="I189" s="98"/>
      <c r="J189" s="98" t="s">
        <v>1013</v>
      </c>
      <c r="K189" s="98" t="s">
        <v>1134</v>
      </c>
      <c r="L189" s="98" t="s">
        <v>117</v>
      </c>
      <c r="M189" s="98"/>
      <c r="N189" s="98"/>
      <c r="O189" s="98" t="s">
        <v>121</v>
      </c>
      <c r="P189" s="98">
        <v>0.88</v>
      </c>
      <c r="Q189" s="98"/>
      <c r="R189" s="98">
        <f>+P189</f>
        <v>0.88</v>
      </c>
      <c r="S189" s="98"/>
      <c r="T189" s="98"/>
      <c r="U189" s="98"/>
      <c r="V189" s="98"/>
      <c r="W189" s="98"/>
      <c r="X189" s="101">
        <f t="shared" si="7"/>
        <v>0.88</v>
      </c>
      <c r="Y189" s="122">
        <v>94</v>
      </c>
      <c r="Z189" s="106" t="str">
        <f t="shared" si="9"/>
        <v>S</v>
      </c>
      <c r="AA189" s="101" t="s">
        <v>1397</v>
      </c>
      <c r="AB189" s="101"/>
      <c r="AC189" s="101"/>
      <c r="AD189" s="174"/>
      <c r="AE189" s="174"/>
      <c r="AF189" s="174"/>
      <c r="AG189" s="174"/>
      <c r="AH189" s="174"/>
      <c r="AI189" s="174"/>
      <c r="AJ189" s="174"/>
      <c r="AK189" s="174"/>
      <c r="AL189" s="174"/>
    </row>
    <row r="190" spans="1:38" s="107" customFormat="1">
      <c r="A190" s="97">
        <v>46</v>
      </c>
      <c r="B190" s="103" t="s">
        <v>45</v>
      </c>
      <c r="C190" s="103">
        <v>1984</v>
      </c>
      <c r="D190" s="103" t="s">
        <v>113</v>
      </c>
      <c r="E190" s="99" t="s">
        <v>49</v>
      </c>
      <c r="F190" s="98">
        <v>1983</v>
      </c>
      <c r="G190" s="98" t="s">
        <v>116</v>
      </c>
      <c r="H190" s="98" t="s">
        <v>95</v>
      </c>
      <c r="I190" s="98"/>
      <c r="J190" s="98" t="s">
        <v>1013</v>
      </c>
      <c r="K190" s="98" t="s">
        <v>1134</v>
      </c>
      <c r="L190" s="98" t="s">
        <v>117</v>
      </c>
      <c r="M190" s="98"/>
      <c r="N190" s="98"/>
      <c r="O190" s="98" t="s">
        <v>128</v>
      </c>
      <c r="P190" s="98"/>
      <c r="Q190" s="98">
        <v>0.85</v>
      </c>
      <c r="R190" s="98">
        <f>+Q190</f>
        <v>0.85</v>
      </c>
      <c r="S190" s="98"/>
      <c r="T190" s="98"/>
      <c r="U190" s="98"/>
      <c r="V190" s="98"/>
      <c r="W190" s="98"/>
      <c r="X190" s="101">
        <f t="shared" si="7"/>
        <v>0.85</v>
      </c>
      <c r="Y190" s="122">
        <v>130</v>
      </c>
      <c r="Z190" s="106" t="str">
        <f t="shared" si="9"/>
        <v>S</v>
      </c>
      <c r="AA190" s="101" t="s">
        <v>1397</v>
      </c>
      <c r="AB190" s="101"/>
      <c r="AC190" s="101"/>
      <c r="AD190" s="174"/>
      <c r="AE190" s="174"/>
      <c r="AF190" s="174"/>
      <c r="AG190" s="174"/>
      <c r="AH190" s="174"/>
      <c r="AI190" s="174"/>
      <c r="AJ190" s="174"/>
      <c r="AK190" s="174"/>
      <c r="AL190" s="174"/>
    </row>
    <row r="191" spans="1:38" s="107" customFormat="1">
      <c r="A191" s="97">
        <v>35</v>
      </c>
      <c r="B191" s="103" t="s">
        <v>45</v>
      </c>
      <c r="C191" s="103">
        <v>1982</v>
      </c>
      <c r="D191" s="103" t="s">
        <v>46</v>
      </c>
      <c r="E191" s="99" t="s">
        <v>49</v>
      </c>
      <c r="F191" s="98" t="s">
        <v>50</v>
      </c>
      <c r="G191" s="98" t="s">
        <v>51</v>
      </c>
      <c r="H191" s="98" t="s">
        <v>23</v>
      </c>
      <c r="I191" s="98"/>
      <c r="J191" s="98" t="s">
        <v>1013</v>
      </c>
      <c r="K191" s="98" t="s">
        <v>1134</v>
      </c>
      <c r="L191" s="98" t="s">
        <v>52</v>
      </c>
      <c r="M191" s="98"/>
      <c r="N191" s="98"/>
      <c r="O191" s="98" t="s">
        <v>67</v>
      </c>
      <c r="P191" s="98"/>
      <c r="Q191" s="98">
        <v>0.84</v>
      </c>
      <c r="R191" s="98">
        <f>+Q191</f>
        <v>0.84</v>
      </c>
      <c r="S191" s="98"/>
      <c r="T191" s="98"/>
      <c r="U191" s="98"/>
      <c r="V191" s="98"/>
      <c r="W191" s="98">
        <v>136</v>
      </c>
      <c r="X191" s="101">
        <f t="shared" si="7"/>
        <v>0.84</v>
      </c>
      <c r="Y191" s="122">
        <f>+W191</f>
        <v>136</v>
      </c>
      <c r="Z191" s="106" t="str">
        <f t="shared" si="9"/>
        <v>S</v>
      </c>
      <c r="AA191" s="101" t="s">
        <v>1397</v>
      </c>
      <c r="AB191" s="101"/>
      <c r="AC191" s="101"/>
      <c r="AD191" s="174"/>
      <c r="AE191" s="174"/>
      <c r="AF191" s="174"/>
      <c r="AG191" s="174"/>
      <c r="AH191" s="174"/>
      <c r="AI191" s="174"/>
      <c r="AJ191" s="174"/>
      <c r="AK191" s="174"/>
      <c r="AL191" s="174"/>
    </row>
    <row r="192" spans="1:38" s="107" customFormat="1">
      <c r="A192" s="97">
        <v>35</v>
      </c>
      <c r="B192" s="103" t="s">
        <v>45</v>
      </c>
      <c r="C192" s="103">
        <v>1982</v>
      </c>
      <c r="D192" s="103" t="s">
        <v>46</v>
      </c>
      <c r="E192" s="99" t="s">
        <v>49</v>
      </c>
      <c r="F192" s="98" t="s">
        <v>50</v>
      </c>
      <c r="G192" s="98" t="s">
        <v>51</v>
      </c>
      <c r="H192" s="98" t="s">
        <v>23</v>
      </c>
      <c r="I192" s="98"/>
      <c r="J192" s="98" t="s">
        <v>1013</v>
      </c>
      <c r="K192" s="98" t="s">
        <v>1134</v>
      </c>
      <c r="L192" s="98" t="s">
        <v>52</v>
      </c>
      <c r="M192" s="98"/>
      <c r="N192" s="98"/>
      <c r="O192" s="98" t="s">
        <v>71</v>
      </c>
      <c r="P192" s="98">
        <v>0.84</v>
      </c>
      <c r="Q192" s="98"/>
      <c r="R192" s="98">
        <f>+P192</f>
        <v>0.84</v>
      </c>
      <c r="S192" s="98"/>
      <c r="T192" s="98"/>
      <c r="U192" s="98"/>
      <c r="V192" s="98">
        <v>127</v>
      </c>
      <c r="W192" s="98"/>
      <c r="X192" s="101">
        <f t="shared" si="7"/>
        <v>0.84</v>
      </c>
      <c r="Y192" s="122">
        <f>+V192</f>
        <v>127</v>
      </c>
      <c r="Z192" s="106" t="str">
        <f t="shared" si="9"/>
        <v>S</v>
      </c>
      <c r="AA192" s="101" t="s">
        <v>1397</v>
      </c>
      <c r="AB192" s="101"/>
      <c r="AC192" s="101"/>
      <c r="AD192" s="174"/>
      <c r="AE192" s="174"/>
      <c r="AF192" s="174"/>
      <c r="AG192" s="174"/>
      <c r="AH192" s="174"/>
      <c r="AI192" s="174"/>
      <c r="AJ192" s="174"/>
      <c r="AK192" s="174"/>
      <c r="AL192" s="174"/>
    </row>
    <row r="193" spans="1:38" s="107" customFormat="1">
      <c r="A193" s="97">
        <v>46</v>
      </c>
      <c r="B193" s="103" t="s">
        <v>45</v>
      </c>
      <c r="C193" s="103">
        <v>1984</v>
      </c>
      <c r="D193" s="103" t="s">
        <v>113</v>
      </c>
      <c r="E193" s="99" t="s">
        <v>49</v>
      </c>
      <c r="F193" s="98">
        <v>1983</v>
      </c>
      <c r="G193" s="98" t="s">
        <v>116</v>
      </c>
      <c r="H193" s="98" t="s">
        <v>95</v>
      </c>
      <c r="I193" s="98"/>
      <c r="J193" s="98" t="s">
        <v>1013</v>
      </c>
      <c r="K193" s="98" t="s">
        <v>1134</v>
      </c>
      <c r="L193" s="98" t="s">
        <v>117</v>
      </c>
      <c r="M193" s="98"/>
      <c r="N193" s="98"/>
      <c r="O193" s="98" t="s">
        <v>132</v>
      </c>
      <c r="P193" s="98"/>
      <c r="Q193" s="98">
        <v>0.81</v>
      </c>
      <c r="R193" s="98">
        <f t="shared" ref="R193:R211" si="10">+Q193</f>
        <v>0.81</v>
      </c>
      <c r="S193" s="98"/>
      <c r="T193" s="98"/>
      <c r="U193" s="98"/>
      <c r="V193" s="98"/>
      <c r="W193" s="98"/>
      <c r="X193" s="101">
        <f t="shared" si="7"/>
        <v>0.81</v>
      </c>
      <c r="Y193" s="122">
        <v>197</v>
      </c>
      <c r="Z193" s="106" t="str">
        <f t="shared" si="9"/>
        <v>S</v>
      </c>
      <c r="AA193" s="101" t="s">
        <v>1397</v>
      </c>
      <c r="AB193" s="101"/>
      <c r="AC193" s="101"/>
      <c r="AD193" s="174"/>
      <c r="AE193" s="174"/>
      <c r="AF193" s="174"/>
      <c r="AG193" s="174"/>
      <c r="AH193" s="174"/>
      <c r="AI193" s="174"/>
      <c r="AJ193" s="174"/>
      <c r="AK193" s="174"/>
      <c r="AL193" s="174"/>
    </row>
    <row r="194" spans="1:38" s="107" customFormat="1">
      <c r="A194" s="97">
        <v>46</v>
      </c>
      <c r="B194" s="103" t="s">
        <v>45</v>
      </c>
      <c r="C194" s="103">
        <v>1984</v>
      </c>
      <c r="D194" s="103" t="s">
        <v>113</v>
      </c>
      <c r="E194" s="99" t="s">
        <v>49</v>
      </c>
      <c r="F194" s="98">
        <v>1983</v>
      </c>
      <c r="G194" s="98" t="s">
        <v>116</v>
      </c>
      <c r="H194" s="98" t="s">
        <v>95</v>
      </c>
      <c r="I194" s="98"/>
      <c r="J194" s="98" t="s">
        <v>1013</v>
      </c>
      <c r="K194" s="98" t="s">
        <v>1134</v>
      </c>
      <c r="L194" s="98" t="s">
        <v>117</v>
      </c>
      <c r="M194" s="98"/>
      <c r="N194" s="98"/>
      <c r="O194" s="98" t="s">
        <v>120</v>
      </c>
      <c r="P194" s="98"/>
      <c r="Q194" s="98">
        <v>0.8</v>
      </c>
      <c r="R194" s="98">
        <f t="shared" si="10"/>
        <v>0.8</v>
      </c>
      <c r="S194" s="98"/>
      <c r="T194" s="98"/>
      <c r="U194" s="98"/>
      <c r="V194" s="98"/>
      <c r="W194" s="98"/>
      <c r="X194" s="101">
        <f t="shared" ref="X194:X213" si="11">IF(R194&lt;&gt;0,IF(R194&gt;1,R194/100,R194),IF(U194&lt;&gt;0,IF(U194&gt;1,U194/100,U194),""))</f>
        <v>0.8</v>
      </c>
      <c r="Y194" s="122">
        <v>198</v>
      </c>
      <c r="Z194" s="106" t="str">
        <f t="shared" si="9"/>
        <v>S</v>
      </c>
      <c r="AA194" s="101" t="s">
        <v>1397</v>
      </c>
      <c r="AB194" s="101"/>
      <c r="AC194" s="101"/>
      <c r="AD194" s="174"/>
      <c r="AE194" s="174"/>
      <c r="AF194" s="174"/>
      <c r="AG194" s="174"/>
      <c r="AH194" s="174"/>
      <c r="AI194" s="174"/>
      <c r="AJ194" s="174"/>
      <c r="AK194" s="174"/>
      <c r="AL194" s="174"/>
    </row>
    <row r="195" spans="1:38" s="107" customFormat="1">
      <c r="A195" s="97">
        <v>46</v>
      </c>
      <c r="B195" s="103" t="s">
        <v>45</v>
      </c>
      <c r="C195" s="103">
        <v>1984</v>
      </c>
      <c r="D195" s="103" t="s">
        <v>113</v>
      </c>
      <c r="E195" s="99" t="s">
        <v>49</v>
      </c>
      <c r="F195" s="98">
        <v>1983</v>
      </c>
      <c r="G195" s="98" t="s">
        <v>116</v>
      </c>
      <c r="H195" s="98" t="s">
        <v>95</v>
      </c>
      <c r="I195" s="98"/>
      <c r="J195" s="98" t="s">
        <v>1013</v>
      </c>
      <c r="K195" s="98" t="s">
        <v>1134</v>
      </c>
      <c r="L195" s="98" t="s">
        <v>117</v>
      </c>
      <c r="M195" s="98"/>
      <c r="N195" s="98"/>
      <c r="O195" s="98" t="s">
        <v>130</v>
      </c>
      <c r="P195" s="98"/>
      <c r="Q195" s="98">
        <v>0.8</v>
      </c>
      <c r="R195" s="98">
        <f t="shared" si="10"/>
        <v>0.8</v>
      </c>
      <c r="S195" s="98"/>
      <c r="T195" s="98"/>
      <c r="U195" s="98"/>
      <c r="V195" s="98"/>
      <c r="W195" s="98"/>
      <c r="X195" s="101">
        <f t="shared" si="11"/>
        <v>0.8</v>
      </c>
      <c r="Y195" s="122">
        <v>196</v>
      </c>
      <c r="Z195" s="106" t="str">
        <f t="shared" si="9"/>
        <v>S</v>
      </c>
      <c r="AA195" s="101" t="s">
        <v>1397</v>
      </c>
      <c r="AB195" s="101"/>
      <c r="AC195" s="101"/>
      <c r="AD195" s="174"/>
      <c r="AE195" s="174"/>
      <c r="AF195" s="174"/>
      <c r="AG195" s="174"/>
      <c r="AH195" s="174"/>
      <c r="AI195" s="174"/>
      <c r="AJ195" s="174"/>
      <c r="AK195" s="174"/>
      <c r="AL195" s="174"/>
    </row>
    <row r="196" spans="1:38" s="107" customFormat="1">
      <c r="A196" s="97">
        <v>46</v>
      </c>
      <c r="B196" s="103" t="s">
        <v>45</v>
      </c>
      <c r="C196" s="103">
        <v>1984</v>
      </c>
      <c r="D196" s="103" t="s">
        <v>113</v>
      </c>
      <c r="E196" s="99" t="s">
        <v>49</v>
      </c>
      <c r="F196" s="98">
        <v>1983</v>
      </c>
      <c r="G196" s="98" t="s">
        <v>116</v>
      </c>
      <c r="H196" s="98" t="s">
        <v>95</v>
      </c>
      <c r="I196" s="98"/>
      <c r="J196" s="98" t="s">
        <v>1013</v>
      </c>
      <c r="K196" s="98" t="s">
        <v>1134</v>
      </c>
      <c r="L196" s="98" t="s">
        <v>117</v>
      </c>
      <c r="M196" s="98"/>
      <c r="N196" s="98"/>
      <c r="O196" s="98" t="s">
        <v>122</v>
      </c>
      <c r="P196" s="98"/>
      <c r="Q196" s="98">
        <v>0.79</v>
      </c>
      <c r="R196" s="98">
        <f t="shared" si="10"/>
        <v>0.79</v>
      </c>
      <c r="S196" s="98"/>
      <c r="T196" s="98"/>
      <c r="U196" s="98"/>
      <c r="V196" s="98"/>
      <c r="W196" s="98"/>
      <c r="X196" s="101">
        <f t="shared" si="11"/>
        <v>0.79</v>
      </c>
      <c r="Y196" s="122">
        <v>201</v>
      </c>
      <c r="Z196" s="106" t="str">
        <f t="shared" si="9"/>
        <v>S</v>
      </c>
      <c r="AA196" s="101" t="s">
        <v>1397</v>
      </c>
      <c r="AB196" s="101"/>
      <c r="AC196" s="101"/>
      <c r="AD196" s="174"/>
      <c r="AE196" s="174"/>
      <c r="AF196" s="174"/>
      <c r="AG196" s="174"/>
      <c r="AH196" s="174"/>
      <c r="AI196" s="174"/>
      <c r="AJ196" s="174"/>
      <c r="AK196" s="174"/>
      <c r="AL196" s="174"/>
    </row>
    <row r="197" spans="1:38" s="107" customFormat="1">
      <c r="A197" s="97">
        <v>46</v>
      </c>
      <c r="B197" s="103" t="s">
        <v>45</v>
      </c>
      <c r="C197" s="103">
        <v>1984</v>
      </c>
      <c r="D197" s="103" t="s">
        <v>113</v>
      </c>
      <c r="E197" s="99" t="s">
        <v>49</v>
      </c>
      <c r="F197" s="98">
        <v>1983</v>
      </c>
      <c r="G197" s="98" t="s">
        <v>116</v>
      </c>
      <c r="H197" s="98" t="s">
        <v>95</v>
      </c>
      <c r="I197" s="98"/>
      <c r="J197" s="98" t="s">
        <v>1013</v>
      </c>
      <c r="K197" s="98" t="s">
        <v>1134</v>
      </c>
      <c r="L197" s="98" t="s">
        <v>117</v>
      </c>
      <c r="M197" s="98"/>
      <c r="N197" s="98"/>
      <c r="O197" s="98" t="s">
        <v>124</v>
      </c>
      <c r="P197" s="98"/>
      <c r="Q197" s="98">
        <v>0.78</v>
      </c>
      <c r="R197" s="98">
        <f t="shared" si="10"/>
        <v>0.78</v>
      </c>
      <c r="S197" s="98"/>
      <c r="T197" s="98"/>
      <c r="U197" s="98"/>
      <c r="V197" s="98"/>
      <c r="W197" s="98"/>
      <c r="X197" s="101">
        <f t="shared" si="11"/>
        <v>0.78</v>
      </c>
      <c r="Y197" s="122">
        <v>222</v>
      </c>
      <c r="Z197" s="106" t="str">
        <f t="shared" si="9"/>
        <v>S</v>
      </c>
      <c r="AA197" s="101" t="s">
        <v>1397</v>
      </c>
      <c r="AB197" s="101"/>
      <c r="AC197" s="101"/>
      <c r="AD197" s="174"/>
      <c r="AE197" s="174"/>
      <c r="AF197" s="174"/>
      <c r="AG197" s="174"/>
      <c r="AH197" s="174"/>
      <c r="AI197" s="174"/>
      <c r="AJ197" s="174"/>
      <c r="AK197" s="174"/>
      <c r="AL197" s="174"/>
    </row>
    <row r="198" spans="1:38" s="107" customFormat="1">
      <c r="A198" s="97">
        <v>35</v>
      </c>
      <c r="B198" s="103" t="s">
        <v>45</v>
      </c>
      <c r="C198" s="103">
        <v>1982</v>
      </c>
      <c r="D198" s="103" t="s">
        <v>46</v>
      </c>
      <c r="E198" s="99" t="s">
        <v>49</v>
      </c>
      <c r="F198" s="98" t="s">
        <v>50</v>
      </c>
      <c r="G198" s="98" t="s">
        <v>51</v>
      </c>
      <c r="H198" s="98" t="s">
        <v>23</v>
      </c>
      <c r="I198" s="98"/>
      <c r="J198" s="98" t="s">
        <v>1013</v>
      </c>
      <c r="K198" s="98" t="s">
        <v>1134</v>
      </c>
      <c r="L198" s="98" t="s">
        <v>52</v>
      </c>
      <c r="M198" s="98"/>
      <c r="N198" s="98"/>
      <c r="O198" s="98" t="s">
        <v>70</v>
      </c>
      <c r="P198" s="98"/>
      <c r="Q198" s="98">
        <v>0.78</v>
      </c>
      <c r="R198" s="98">
        <f t="shared" si="10"/>
        <v>0.78</v>
      </c>
      <c r="S198" s="98"/>
      <c r="T198" s="98"/>
      <c r="U198" s="98"/>
      <c r="V198" s="98"/>
      <c r="W198" s="98">
        <v>204</v>
      </c>
      <c r="X198" s="101">
        <f t="shared" si="11"/>
        <v>0.78</v>
      </c>
      <c r="Y198" s="122">
        <f>+W198</f>
        <v>204</v>
      </c>
      <c r="Z198" s="106" t="str">
        <f t="shared" si="9"/>
        <v>S</v>
      </c>
      <c r="AA198" s="101" t="s">
        <v>1397</v>
      </c>
      <c r="AB198" s="101"/>
      <c r="AC198" s="101"/>
      <c r="AD198" s="174"/>
      <c r="AE198" s="174"/>
      <c r="AF198" s="174"/>
      <c r="AG198" s="174"/>
      <c r="AH198" s="174"/>
      <c r="AI198" s="174"/>
      <c r="AJ198" s="174"/>
      <c r="AK198" s="174"/>
      <c r="AL198" s="174"/>
    </row>
    <row r="199" spans="1:38" s="107" customFormat="1">
      <c r="A199" s="97">
        <v>35</v>
      </c>
      <c r="B199" s="103" t="s">
        <v>45</v>
      </c>
      <c r="C199" s="103">
        <v>1982</v>
      </c>
      <c r="D199" s="103" t="s">
        <v>46</v>
      </c>
      <c r="E199" s="99" t="s">
        <v>49</v>
      </c>
      <c r="F199" s="98" t="s">
        <v>50</v>
      </c>
      <c r="G199" s="98" t="s">
        <v>51</v>
      </c>
      <c r="H199" s="98" t="s">
        <v>23</v>
      </c>
      <c r="I199" s="98"/>
      <c r="J199" s="98" t="s">
        <v>1013</v>
      </c>
      <c r="K199" s="98" t="s">
        <v>1134</v>
      </c>
      <c r="L199" s="98" t="s">
        <v>52</v>
      </c>
      <c r="M199" s="98"/>
      <c r="N199" s="98"/>
      <c r="O199" s="98" t="s">
        <v>70</v>
      </c>
      <c r="P199" s="98"/>
      <c r="Q199" s="98">
        <v>0.78</v>
      </c>
      <c r="R199" s="98">
        <f t="shared" si="10"/>
        <v>0.78</v>
      </c>
      <c r="S199" s="98"/>
      <c r="T199" s="98"/>
      <c r="U199" s="98"/>
      <c r="V199" s="98"/>
      <c r="W199" s="98">
        <v>204</v>
      </c>
      <c r="X199" s="101">
        <f t="shared" si="11"/>
        <v>0.78</v>
      </c>
      <c r="Y199" s="122">
        <f>+W199</f>
        <v>204</v>
      </c>
      <c r="Z199" s="106" t="str">
        <f t="shared" si="9"/>
        <v>S</v>
      </c>
      <c r="AA199" s="101" t="s">
        <v>1397</v>
      </c>
      <c r="AB199" s="101"/>
      <c r="AC199" s="101"/>
      <c r="AD199" s="174"/>
      <c r="AE199" s="174"/>
      <c r="AF199" s="174"/>
      <c r="AG199" s="174"/>
      <c r="AH199" s="174"/>
      <c r="AI199" s="174"/>
      <c r="AJ199" s="174"/>
      <c r="AK199" s="174"/>
      <c r="AL199" s="174"/>
    </row>
    <row r="200" spans="1:38" s="107" customFormat="1">
      <c r="A200" s="97">
        <v>35</v>
      </c>
      <c r="B200" s="103" t="s">
        <v>45</v>
      </c>
      <c r="C200" s="103">
        <v>1982</v>
      </c>
      <c r="D200" s="103" t="s">
        <v>46</v>
      </c>
      <c r="E200" s="99" t="s">
        <v>49</v>
      </c>
      <c r="F200" s="98" t="s">
        <v>50</v>
      </c>
      <c r="G200" s="98" t="s">
        <v>51</v>
      </c>
      <c r="H200" s="98" t="s">
        <v>23</v>
      </c>
      <c r="I200" s="98"/>
      <c r="J200" s="98" t="s">
        <v>1013</v>
      </c>
      <c r="K200" s="98" t="s">
        <v>1134</v>
      </c>
      <c r="L200" s="98" t="s">
        <v>52</v>
      </c>
      <c r="M200" s="98"/>
      <c r="N200" s="98"/>
      <c r="O200" s="98" t="s">
        <v>69</v>
      </c>
      <c r="P200" s="98"/>
      <c r="Q200" s="98">
        <v>0.78</v>
      </c>
      <c r="R200" s="98">
        <f t="shared" si="10"/>
        <v>0.78</v>
      </c>
      <c r="S200" s="98"/>
      <c r="T200" s="98"/>
      <c r="U200" s="98"/>
      <c r="V200" s="98"/>
      <c r="W200" s="98">
        <v>191</v>
      </c>
      <c r="X200" s="101">
        <f t="shared" si="11"/>
        <v>0.78</v>
      </c>
      <c r="Y200" s="122">
        <f>+W200</f>
        <v>191</v>
      </c>
      <c r="Z200" s="106" t="str">
        <f t="shared" si="9"/>
        <v>S</v>
      </c>
      <c r="AA200" s="101" t="s">
        <v>1397</v>
      </c>
      <c r="AB200" s="101"/>
      <c r="AC200" s="101"/>
      <c r="AD200" s="174"/>
      <c r="AE200" s="174"/>
      <c r="AF200" s="174"/>
      <c r="AG200" s="174"/>
      <c r="AH200" s="174"/>
      <c r="AI200" s="174"/>
      <c r="AJ200" s="174"/>
      <c r="AK200" s="174"/>
      <c r="AL200" s="174"/>
    </row>
    <row r="201" spans="1:38" s="107" customFormat="1">
      <c r="A201" s="97">
        <v>46</v>
      </c>
      <c r="B201" s="103" t="s">
        <v>45</v>
      </c>
      <c r="C201" s="103">
        <v>1984</v>
      </c>
      <c r="D201" s="103" t="s">
        <v>113</v>
      </c>
      <c r="E201" s="99" t="s">
        <v>49</v>
      </c>
      <c r="F201" s="98">
        <v>1983</v>
      </c>
      <c r="G201" s="98" t="s">
        <v>116</v>
      </c>
      <c r="H201" s="98" t="s">
        <v>95</v>
      </c>
      <c r="I201" s="98"/>
      <c r="J201" s="98" t="s">
        <v>1013</v>
      </c>
      <c r="K201" s="98" t="s">
        <v>1134</v>
      </c>
      <c r="L201" s="98" t="s">
        <v>117</v>
      </c>
      <c r="M201" s="98"/>
      <c r="N201" s="98"/>
      <c r="O201" s="98" t="s">
        <v>125</v>
      </c>
      <c r="P201" s="98"/>
      <c r="Q201" s="98">
        <v>0.77</v>
      </c>
      <c r="R201" s="98">
        <f t="shared" si="10"/>
        <v>0.77</v>
      </c>
      <c r="S201" s="98"/>
      <c r="T201" s="98"/>
      <c r="U201" s="98"/>
      <c r="V201" s="98"/>
      <c r="W201" s="98"/>
      <c r="X201" s="101">
        <f t="shared" si="11"/>
        <v>0.77</v>
      </c>
      <c r="Y201" s="122">
        <v>231</v>
      </c>
      <c r="Z201" s="106" t="str">
        <f t="shared" si="9"/>
        <v>S</v>
      </c>
      <c r="AA201" s="101" t="s">
        <v>1397</v>
      </c>
      <c r="AB201" s="101"/>
      <c r="AC201" s="101"/>
      <c r="AD201" s="174"/>
      <c r="AE201" s="174"/>
      <c r="AF201" s="174"/>
      <c r="AG201" s="174"/>
      <c r="AH201" s="174"/>
      <c r="AI201" s="174"/>
      <c r="AJ201" s="174"/>
      <c r="AK201" s="174"/>
      <c r="AL201" s="174"/>
    </row>
    <row r="202" spans="1:38" s="107" customFormat="1">
      <c r="A202" s="97">
        <v>46</v>
      </c>
      <c r="B202" s="103" t="s">
        <v>45</v>
      </c>
      <c r="C202" s="103">
        <v>1984</v>
      </c>
      <c r="D202" s="103" t="s">
        <v>113</v>
      </c>
      <c r="E202" s="99" t="s">
        <v>49</v>
      </c>
      <c r="F202" s="98">
        <v>1983</v>
      </c>
      <c r="G202" s="98" t="s">
        <v>116</v>
      </c>
      <c r="H202" s="98" t="s">
        <v>95</v>
      </c>
      <c r="I202" s="98"/>
      <c r="J202" s="98" t="s">
        <v>1013</v>
      </c>
      <c r="K202" s="98" t="s">
        <v>1134</v>
      </c>
      <c r="L202" s="98" t="s">
        <v>117</v>
      </c>
      <c r="M202" s="98"/>
      <c r="N202" s="98"/>
      <c r="O202" s="98" t="s">
        <v>129</v>
      </c>
      <c r="P202" s="98"/>
      <c r="Q202" s="98">
        <v>0.77</v>
      </c>
      <c r="R202" s="98">
        <f t="shared" si="10"/>
        <v>0.77</v>
      </c>
      <c r="S202" s="98"/>
      <c r="T202" s="98"/>
      <c r="U202" s="98"/>
      <c r="V202" s="98"/>
      <c r="W202" s="98"/>
      <c r="X202" s="101">
        <f t="shared" si="11"/>
        <v>0.77</v>
      </c>
      <c r="Y202" s="122">
        <v>156</v>
      </c>
      <c r="Z202" s="106" t="str">
        <f t="shared" si="9"/>
        <v>S</v>
      </c>
      <c r="AA202" s="101" t="s">
        <v>1397</v>
      </c>
      <c r="AB202" s="101"/>
      <c r="AC202" s="101"/>
      <c r="AD202" s="174"/>
      <c r="AE202" s="174"/>
      <c r="AF202" s="174"/>
      <c r="AG202" s="174"/>
      <c r="AH202" s="174"/>
      <c r="AI202" s="174"/>
      <c r="AJ202" s="174"/>
      <c r="AK202" s="174"/>
      <c r="AL202" s="174"/>
    </row>
    <row r="203" spans="1:38" s="107" customFormat="1">
      <c r="A203" s="97">
        <v>46</v>
      </c>
      <c r="B203" s="103" t="s">
        <v>45</v>
      </c>
      <c r="C203" s="103">
        <v>1984</v>
      </c>
      <c r="D203" s="103" t="s">
        <v>113</v>
      </c>
      <c r="E203" s="99" t="s">
        <v>49</v>
      </c>
      <c r="F203" s="98">
        <v>1983</v>
      </c>
      <c r="G203" s="98" t="s">
        <v>116</v>
      </c>
      <c r="H203" s="98" t="s">
        <v>95</v>
      </c>
      <c r="I203" s="98"/>
      <c r="J203" s="98" t="s">
        <v>1013</v>
      </c>
      <c r="K203" s="98" t="s">
        <v>1134</v>
      </c>
      <c r="L203" s="98" t="s">
        <v>117</v>
      </c>
      <c r="M203" s="98"/>
      <c r="N203" s="98"/>
      <c r="O203" s="98" t="s">
        <v>127</v>
      </c>
      <c r="P203" s="98"/>
      <c r="Q203" s="98">
        <v>0.74</v>
      </c>
      <c r="R203" s="98">
        <f t="shared" si="10"/>
        <v>0.74</v>
      </c>
      <c r="S203" s="98"/>
      <c r="T203" s="98"/>
      <c r="U203" s="98"/>
      <c r="V203" s="98"/>
      <c r="W203" s="98"/>
      <c r="X203" s="101">
        <f t="shared" si="11"/>
        <v>0.74</v>
      </c>
      <c r="Y203" s="122">
        <v>260</v>
      </c>
      <c r="Z203" s="106" t="str">
        <f t="shared" si="9"/>
        <v>S</v>
      </c>
      <c r="AA203" s="101" t="s">
        <v>1397</v>
      </c>
      <c r="AB203" s="101"/>
      <c r="AC203" s="101"/>
      <c r="AD203" s="174"/>
      <c r="AE203" s="174"/>
      <c r="AF203" s="174"/>
      <c r="AG203" s="174"/>
      <c r="AH203" s="174"/>
      <c r="AI203" s="174"/>
      <c r="AJ203" s="174"/>
      <c r="AK203" s="174"/>
      <c r="AL203" s="174"/>
    </row>
    <row r="204" spans="1:38" s="107" customFormat="1">
      <c r="A204" s="97">
        <v>35</v>
      </c>
      <c r="B204" s="103" t="s">
        <v>45</v>
      </c>
      <c r="C204" s="103">
        <v>1982</v>
      </c>
      <c r="D204" s="103" t="s">
        <v>46</v>
      </c>
      <c r="E204" s="99" t="s">
        <v>49</v>
      </c>
      <c r="F204" s="98" t="s">
        <v>50</v>
      </c>
      <c r="G204" s="98" t="s">
        <v>51</v>
      </c>
      <c r="H204" s="98" t="s">
        <v>23</v>
      </c>
      <c r="I204" s="98"/>
      <c r="J204" s="98" t="s">
        <v>1013</v>
      </c>
      <c r="K204" s="98" t="s">
        <v>1134</v>
      </c>
      <c r="L204" s="98" t="s">
        <v>52</v>
      </c>
      <c r="M204" s="98"/>
      <c r="N204" s="98"/>
      <c r="O204" s="98" t="s">
        <v>71</v>
      </c>
      <c r="P204" s="98"/>
      <c r="Q204" s="98">
        <v>0.74</v>
      </c>
      <c r="R204" s="98">
        <f t="shared" si="10"/>
        <v>0.74</v>
      </c>
      <c r="S204" s="98"/>
      <c r="T204" s="98"/>
      <c r="U204" s="98"/>
      <c r="V204" s="98"/>
      <c r="W204" s="98">
        <v>241</v>
      </c>
      <c r="X204" s="101">
        <f t="shared" si="11"/>
        <v>0.74</v>
      </c>
      <c r="Y204" s="122">
        <f>+W204</f>
        <v>241</v>
      </c>
      <c r="Z204" s="106" t="str">
        <f t="shared" si="9"/>
        <v>S</v>
      </c>
      <c r="AA204" s="101" t="s">
        <v>1397</v>
      </c>
      <c r="AB204" s="101"/>
      <c r="AC204" s="101"/>
      <c r="AD204" s="174"/>
      <c r="AE204" s="174"/>
      <c r="AF204" s="174"/>
      <c r="AG204" s="174"/>
      <c r="AH204" s="174"/>
      <c r="AI204" s="174"/>
      <c r="AJ204" s="174"/>
      <c r="AK204" s="174"/>
      <c r="AL204" s="174"/>
    </row>
    <row r="205" spans="1:38" s="107" customFormat="1">
      <c r="A205" s="97">
        <v>35</v>
      </c>
      <c r="B205" s="103" t="s">
        <v>45</v>
      </c>
      <c r="C205" s="103">
        <v>1982</v>
      </c>
      <c r="D205" s="103" t="s">
        <v>46</v>
      </c>
      <c r="E205" s="99" t="s">
        <v>49</v>
      </c>
      <c r="F205" s="98" t="s">
        <v>50</v>
      </c>
      <c r="G205" s="98" t="s">
        <v>51</v>
      </c>
      <c r="H205" s="98" t="s">
        <v>23</v>
      </c>
      <c r="I205" s="98"/>
      <c r="J205" s="98" t="s">
        <v>1013</v>
      </c>
      <c r="K205" s="98" t="s">
        <v>1134</v>
      </c>
      <c r="L205" s="98" t="s">
        <v>52</v>
      </c>
      <c r="M205" s="98"/>
      <c r="N205" s="98"/>
      <c r="O205" s="98" t="s">
        <v>68</v>
      </c>
      <c r="P205" s="98"/>
      <c r="Q205" s="98">
        <v>0.74</v>
      </c>
      <c r="R205" s="98">
        <f t="shared" si="10"/>
        <v>0.74</v>
      </c>
      <c r="S205" s="98"/>
      <c r="T205" s="98"/>
      <c r="U205" s="98"/>
      <c r="V205" s="98"/>
      <c r="W205" s="98">
        <v>226</v>
      </c>
      <c r="X205" s="101">
        <f t="shared" si="11"/>
        <v>0.74</v>
      </c>
      <c r="Y205" s="122">
        <f>+W205</f>
        <v>226</v>
      </c>
      <c r="Z205" s="106" t="str">
        <f t="shared" si="9"/>
        <v>S</v>
      </c>
      <c r="AA205" s="101" t="s">
        <v>1397</v>
      </c>
      <c r="AB205" s="101"/>
      <c r="AC205" s="101"/>
      <c r="AD205" s="174"/>
      <c r="AE205" s="174"/>
      <c r="AF205" s="174"/>
      <c r="AG205" s="174"/>
      <c r="AH205" s="174"/>
      <c r="AI205" s="174"/>
      <c r="AJ205" s="174"/>
      <c r="AK205" s="174"/>
      <c r="AL205" s="174"/>
    </row>
    <row r="206" spans="1:38" s="107" customFormat="1">
      <c r="A206" s="97">
        <v>35</v>
      </c>
      <c r="B206" s="103" t="s">
        <v>45</v>
      </c>
      <c r="C206" s="103">
        <v>1982</v>
      </c>
      <c r="D206" s="103" t="s">
        <v>46</v>
      </c>
      <c r="E206" s="99" t="s">
        <v>49</v>
      </c>
      <c r="F206" s="98" t="s">
        <v>50</v>
      </c>
      <c r="G206" s="98" t="s">
        <v>51</v>
      </c>
      <c r="H206" s="98" t="s">
        <v>23</v>
      </c>
      <c r="I206" s="98"/>
      <c r="J206" s="98" t="s">
        <v>1013</v>
      </c>
      <c r="K206" s="98" t="s">
        <v>1134</v>
      </c>
      <c r="L206" s="98" t="s">
        <v>52</v>
      </c>
      <c r="M206" s="98"/>
      <c r="N206" s="98"/>
      <c r="O206" s="98" t="s">
        <v>68</v>
      </c>
      <c r="P206" s="98"/>
      <c r="Q206" s="98">
        <v>0.74</v>
      </c>
      <c r="R206" s="98">
        <f t="shared" si="10"/>
        <v>0.74</v>
      </c>
      <c r="S206" s="98"/>
      <c r="T206" s="98"/>
      <c r="U206" s="98"/>
      <c r="V206" s="98"/>
      <c r="W206" s="98">
        <v>226</v>
      </c>
      <c r="X206" s="101">
        <f t="shared" si="11"/>
        <v>0.74</v>
      </c>
      <c r="Y206" s="122">
        <f>+W206</f>
        <v>226</v>
      </c>
      <c r="Z206" s="106" t="str">
        <f t="shared" si="9"/>
        <v>S</v>
      </c>
      <c r="AA206" s="101" t="s">
        <v>1397</v>
      </c>
      <c r="AB206" s="101"/>
      <c r="AC206" s="101"/>
      <c r="AD206" s="174"/>
      <c r="AE206" s="174"/>
      <c r="AF206" s="174"/>
      <c r="AG206" s="174"/>
      <c r="AH206" s="174"/>
      <c r="AI206" s="174"/>
      <c r="AJ206" s="174"/>
      <c r="AK206" s="174"/>
      <c r="AL206" s="174"/>
    </row>
    <row r="207" spans="1:38" s="107" customFormat="1">
      <c r="A207" s="97">
        <v>35</v>
      </c>
      <c r="B207" s="103" t="s">
        <v>45</v>
      </c>
      <c r="C207" s="103">
        <v>1982</v>
      </c>
      <c r="D207" s="103" t="s">
        <v>46</v>
      </c>
      <c r="E207" s="99" t="s">
        <v>49</v>
      </c>
      <c r="F207" s="98" t="s">
        <v>50</v>
      </c>
      <c r="G207" s="98" t="s">
        <v>51</v>
      </c>
      <c r="H207" s="98" t="s">
        <v>23</v>
      </c>
      <c r="I207" s="98"/>
      <c r="J207" s="98" t="s">
        <v>1013</v>
      </c>
      <c r="K207" s="98" t="s">
        <v>1134</v>
      </c>
      <c r="L207" s="98" t="s">
        <v>52</v>
      </c>
      <c r="M207" s="98"/>
      <c r="N207" s="98"/>
      <c r="O207" s="98" t="s">
        <v>72</v>
      </c>
      <c r="P207" s="98"/>
      <c r="Q207" s="98">
        <v>0.71</v>
      </c>
      <c r="R207" s="98">
        <f t="shared" si="10"/>
        <v>0.71</v>
      </c>
      <c r="S207" s="98"/>
      <c r="T207" s="98"/>
      <c r="U207" s="98"/>
      <c r="V207" s="98"/>
      <c r="W207" s="98">
        <v>266</v>
      </c>
      <c r="X207" s="101">
        <f t="shared" si="11"/>
        <v>0.71</v>
      </c>
      <c r="Y207" s="122">
        <f>+W207</f>
        <v>266</v>
      </c>
      <c r="Z207" s="106" t="str">
        <f t="shared" si="9"/>
        <v>S</v>
      </c>
      <c r="AA207" s="101" t="s">
        <v>1397</v>
      </c>
      <c r="AB207" s="101"/>
      <c r="AC207" s="101"/>
      <c r="AD207" s="174"/>
      <c r="AE207" s="174"/>
      <c r="AF207" s="174"/>
      <c r="AG207" s="174"/>
      <c r="AH207" s="174"/>
      <c r="AI207" s="174"/>
      <c r="AJ207" s="174"/>
      <c r="AK207" s="174"/>
      <c r="AL207" s="174"/>
    </row>
    <row r="208" spans="1:38" s="107" customFormat="1">
      <c r="A208" s="97">
        <v>35</v>
      </c>
      <c r="B208" s="103" t="s">
        <v>45</v>
      </c>
      <c r="C208" s="103">
        <v>1982</v>
      </c>
      <c r="D208" s="103" t="s">
        <v>46</v>
      </c>
      <c r="E208" s="99" t="s">
        <v>49</v>
      </c>
      <c r="F208" s="98" t="s">
        <v>50</v>
      </c>
      <c r="G208" s="98" t="s">
        <v>51</v>
      </c>
      <c r="H208" s="98" t="s">
        <v>23</v>
      </c>
      <c r="I208" s="98"/>
      <c r="J208" s="98" t="s">
        <v>1013</v>
      </c>
      <c r="K208" s="98" t="s">
        <v>1134</v>
      </c>
      <c r="L208" s="98" t="s">
        <v>52</v>
      </c>
      <c r="M208" s="98"/>
      <c r="N208" s="98"/>
      <c r="O208" s="98" t="s">
        <v>72</v>
      </c>
      <c r="P208" s="98"/>
      <c r="Q208" s="98">
        <v>0.71</v>
      </c>
      <c r="R208" s="98">
        <f t="shared" si="10"/>
        <v>0.71</v>
      </c>
      <c r="S208" s="98"/>
      <c r="T208" s="98"/>
      <c r="U208" s="98"/>
      <c r="V208" s="98"/>
      <c r="W208" s="98">
        <v>266</v>
      </c>
      <c r="X208" s="101">
        <f t="shared" si="11"/>
        <v>0.71</v>
      </c>
      <c r="Y208" s="122">
        <f>+W208</f>
        <v>266</v>
      </c>
      <c r="Z208" s="106" t="str">
        <f t="shared" si="9"/>
        <v>S</v>
      </c>
      <c r="AA208" s="101" t="s">
        <v>1397</v>
      </c>
      <c r="AB208" s="101"/>
      <c r="AC208" s="101"/>
      <c r="AD208" s="174"/>
      <c r="AE208" s="174"/>
      <c r="AF208" s="174"/>
      <c r="AG208" s="174"/>
      <c r="AH208" s="174"/>
      <c r="AI208" s="174"/>
      <c r="AJ208" s="174"/>
      <c r="AK208" s="174"/>
      <c r="AL208" s="174"/>
    </row>
    <row r="209" spans="1:38" s="107" customFormat="1">
      <c r="A209" s="97">
        <v>46</v>
      </c>
      <c r="B209" s="103" t="s">
        <v>45</v>
      </c>
      <c r="C209" s="103">
        <v>1984</v>
      </c>
      <c r="D209" s="103" t="s">
        <v>113</v>
      </c>
      <c r="E209" s="99" t="s">
        <v>49</v>
      </c>
      <c r="F209" s="98">
        <v>1983</v>
      </c>
      <c r="G209" s="98" t="s">
        <v>116</v>
      </c>
      <c r="H209" s="98" t="s">
        <v>95</v>
      </c>
      <c r="I209" s="98"/>
      <c r="J209" s="98" t="s">
        <v>1013</v>
      </c>
      <c r="K209" s="98" t="s">
        <v>1134</v>
      </c>
      <c r="L209" s="98" t="s">
        <v>117</v>
      </c>
      <c r="M209" s="98"/>
      <c r="N209" s="98"/>
      <c r="O209" s="98" t="s">
        <v>133</v>
      </c>
      <c r="P209" s="98"/>
      <c r="Q209" s="98">
        <v>0.69</v>
      </c>
      <c r="R209" s="98">
        <f t="shared" si="10"/>
        <v>0.69</v>
      </c>
      <c r="S209" s="98"/>
      <c r="T209" s="98"/>
      <c r="U209" s="98"/>
      <c r="V209" s="98"/>
      <c r="W209" s="98"/>
      <c r="X209" s="101">
        <f t="shared" si="11"/>
        <v>0.69</v>
      </c>
      <c r="Y209" s="122">
        <v>177</v>
      </c>
      <c r="Z209" s="106" t="str">
        <f t="shared" si="9"/>
        <v>S</v>
      </c>
      <c r="AA209" s="101" t="s">
        <v>1397</v>
      </c>
      <c r="AB209" s="101"/>
      <c r="AC209" s="101"/>
      <c r="AD209" s="174"/>
      <c r="AE209" s="174"/>
      <c r="AF209" s="174"/>
      <c r="AG209" s="174"/>
      <c r="AH209" s="174"/>
      <c r="AI209" s="174"/>
      <c r="AJ209" s="174"/>
      <c r="AK209" s="174"/>
      <c r="AL209" s="174"/>
    </row>
    <row r="210" spans="1:38" s="107" customFormat="1">
      <c r="A210" s="97">
        <v>46</v>
      </c>
      <c r="B210" s="103" t="s">
        <v>45</v>
      </c>
      <c r="C210" s="103">
        <v>1984</v>
      </c>
      <c r="D210" s="103" t="s">
        <v>113</v>
      </c>
      <c r="E210" s="99" t="s">
        <v>49</v>
      </c>
      <c r="F210" s="98">
        <v>1983</v>
      </c>
      <c r="G210" s="98" t="s">
        <v>116</v>
      </c>
      <c r="H210" s="98" t="s">
        <v>95</v>
      </c>
      <c r="I210" s="98"/>
      <c r="J210" s="98" t="s">
        <v>1013</v>
      </c>
      <c r="K210" s="98" t="s">
        <v>1134</v>
      </c>
      <c r="L210" s="98" t="s">
        <v>117</v>
      </c>
      <c r="M210" s="98"/>
      <c r="N210" s="98"/>
      <c r="O210" s="98" t="s">
        <v>119</v>
      </c>
      <c r="P210" s="98"/>
      <c r="Q210" s="98">
        <v>0.66</v>
      </c>
      <c r="R210" s="98">
        <f t="shared" si="10"/>
        <v>0.66</v>
      </c>
      <c r="S210" s="98"/>
      <c r="T210" s="98"/>
      <c r="U210" s="98"/>
      <c r="V210" s="98"/>
      <c r="W210" s="98"/>
      <c r="X210" s="101">
        <f t="shared" si="11"/>
        <v>0.66</v>
      </c>
      <c r="Y210" s="122">
        <v>358</v>
      </c>
      <c r="Z210" s="106" t="str">
        <f t="shared" si="9"/>
        <v>S</v>
      </c>
      <c r="AA210" s="101" t="s">
        <v>1397</v>
      </c>
      <c r="AB210" s="101"/>
      <c r="AC210" s="101"/>
      <c r="AD210" s="174"/>
      <c r="AE210" s="174"/>
      <c r="AF210" s="174"/>
      <c r="AG210" s="174"/>
      <c r="AH210" s="174"/>
      <c r="AI210" s="174"/>
      <c r="AJ210" s="174"/>
      <c r="AK210" s="174"/>
      <c r="AL210" s="174"/>
    </row>
    <row r="211" spans="1:38" s="107" customFormat="1">
      <c r="A211" s="97">
        <v>46</v>
      </c>
      <c r="B211" s="103" t="s">
        <v>45</v>
      </c>
      <c r="C211" s="103">
        <v>1984</v>
      </c>
      <c r="D211" s="103" t="s">
        <v>113</v>
      </c>
      <c r="E211" s="99" t="s">
        <v>49</v>
      </c>
      <c r="F211" s="98">
        <v>1983</v>
      </c>
      <c r="G211" s="98" t="s">
        <v>116</v>
      </c>
      <c r="H211" s="98" t="s">
        <v>95</v>
      </c>
      <c r="I211" s="98"/>
      <c r="J211" s="98" t="s">
        <v>1013</v>
      </c>
      <c r="K211" s="98" t="s">
        <v>1134</v>
      </c>
      <c r="L211" s="98" t="s">
        <v>117</v>
      </c>
      <c r="M211" s="98"/>
      <c r="N211" s="98"/>
      <c r="O211" s="98" t="s">
        <v>118</v>
      </c>
      <c r="P211" s="98"/>
      <c r="Q211" s="98">
        <v>0.63</v>
      </c>
      <c r="R211" s="98">
        <f t="shared" si="10"/>
        <v>0.63</v>
      </c>
      <c r="S211" s="98"/>
      <c r="T211" s="98"/>
      <c r="U211" s="98"/>
      <c r="V211" s="98"/>
      <c r="W211" s="98"/>
      <c r="X211" s="101">
        <f t="shared" si="11"/>
        <v>0.63</v>
      </c>
      <c r="Y211" s="122">
        <v>359</v>
      </c>
      <c r="Z211" s="106" t="str">
        <f t="shared" si="9"/>
        <v>S</v>
      </c>
      <c r="AA211" s="101" t="s">
        <v>1397</v>
      </c>
      <c r="AB211" s="101"/>
      <c r="AC211" s="101"/>
      <c r="AD211" s="174"/>
      <c r="AE211" s="174"/>
      <c r="AF211" s="174"/>
      <c r="AG211" s="174"/>
      <c r="AH211" s="174"/>
      <c r="AI211" s="174"/>
      <c r="AJ211" s="174"/>
      <c r="AK211" s="174"/>
      <c r="AL211" s="174"/>
    </row>
    <row r="212" spans="1:38" s="45" customFormat="1">
      <c r="A212" s="53">
        <v>121</v>
      </c>
      <c r="B212" s="60" t="s">
        <v>427</v>
      </c>
      <c r="C212" s="60">
        <v>2002</v>
      </c>
      <c r="D212" s="60" t="s">
        <v>428</v>
      </c>
      <c r="E212" s="56" t="s">
        <v>430</v>
      </c>
      <c r="F212" s="54">
        <v>2002</v>
      </c>
      <c r="G212" s="54" t="s">
        <v>461</v>
      </c>
      <c r="H212" s="54" t="s">
        <v>159</v>
      </c>
      <c r="I212" s="54"/>
      <c r="J212" s="54" t="s">
        <v>1013</v>
      </c>
      <c r="K212" s="54" t="s">
        <v>1162</v>
      </c>
      <c r="L212" s="54" t="s">
        <v>462</v>
      </c>
      <c r="M212" s="54" t="s">
        <v>463</v>
      </c>
      <c r="N212" s="54" t="s">
        <v>464</v>
      </c>
      <c r="O212" s="54" t="s">
        <v>465</v>
      </c>
      <c r="P212" s="54"/>
      <c r="Q212" s="54"/>
      <c r="R212" s="54"/>
      <c r="S212" s="54"/>
      <c r="T212" s="54"/>
      <c r="U212" s="54"/>
      <c r="V212" s="54"/>
      <c r="W212" s="54"/>
      <c r="X212" s="66" t="str">
        <f t="shared" si="11"/>
        <v/>
      </c>
      <c r="Y212" s="71">
        <v>162</v>
      </c>
      <c r="Z212" s="192" t="str">
        <f t="shared" si="9"/>
        <v/>
      </c>
      <c r="AA212" s="66" t="s">
        <v>1397</v>
      </c>
      <c r="AB212" s="66"/>
      <c r="AC212" s="66"/>
      <c r="AD212" s="172"/>
      <c r="AE212" s="172"/>
      <c r="AF212" s="172"/>
      <c r="AG212" s="172"/>
      <c r="AH212" s="172"/>
      <c r="AI212" s="172"/>
      <c r="AJ212" s="172"/>
      <c r="AK212" s="172"/>
      <c r="AL212" s="172"/>
    </row>
    <row r="213" spans="1:38" s="45" customFormat="1">
      <c r="A213" s="53">
        <v>121</v>
      </c>
      <c r="B213" s="60" t="s">
        <v>427</v>
      </c>
      <c r="C213" s="60">
        <v>2002</v>
      </c>
      <c r="D213" s="60" t="s">
        <v>428</v>
      </c>
      <c r="E213" s="56" t="s">
        <v>430</v>
      </c>
      <c r="F213" s="54">
        <v>2002</v>
      </c>
      <c r="G213" s="54" t="s">
        <v>461</v>
      </c>
      <c r="H213" s="54" t="s">
        <v>159</v>
      </c>
      <c r="I213" s="54"/>
      <c r="J213" s="54" t="s">
        <v>1013</v>
      </c>
      <c r="K213" s="54" t="s">
        <v>1162</v>
      </c>
      <c r="L213" s="54" t="s">
        <v>462</v>
      </c>
      <c r="M213" s="54" t="s">
        <v>463</v>
      </c>
      <c r="N213" s="54" t="s">
        <v>464</v>
      </c>
      <c r="O213" s="54" t="s">
        <v>469</v>
      </c>
      <c r="P213" s="54"/>
      <c r="Q213" s="54"/>
      <c r="R213" s="54"/>
      <c r="S213" s="54"/>
      <c r="T213" s="54"/>
      <c r="U213" s="54"/>
      <c r="V213" s="54"/>
      <c r="W213" s="54"/>
      <c r="X213" s="66" t="str">
        <f t="shared" si="11"/>
        <v/>
      </c>
      <c r="Y213" s="71">
        <v>160</v>
      </c>
      <c r="Z213" s="192" t="str">
        <f t="shared" si="9"/>
        <v/>
      </c>
      <c r="AA213" s="66" t="s">
        <v>1397</v>
      </c>
      <c r="AB213" s="66"/>
      <c r="AC213" s="66"/>
      <c r="AD213" s="172"/>
      <c r="AE213" s="172"/>
      <c r="AF213" s="172"/>
      <c r="AG213" s="172"/>
      <c r="AH213" s="172"/>
      <c r="AI213" s="172"/>
      <c r="AJ213" s="172"/>
      <c r="AK213" s="172"/>
      <c r="AL213" s="172"/>
    </row>
  </sheetData>
  <sortState ref="A2:AA213">
    <sortCondition ref="AA2:AA213"/>
    <sortCondition ref="K2:K213"/>
    <sortCondition ref="Z2:Z213"/>
    <sortCondition descending="1" ref="X2:X213"/>
  </sortState>
  <dataValidations disablePrompts="1" count="1">
    <dataValidation showInputMessage="1" showErrorMessage="1" sqref="A1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3"/>
  <sheetViews>
    <sheetView topLeftCell="I1" workbookViewId="0">
      <selection activeCell="AI51" sqref="AI51"/>
    </sheetView>
  </sheetViews>
  <sheetFormatPr baseColWidth="10" defaultRowHeight="15" x14ac:dyDescent="0"/>
  <cols>
    <col min="11" max="11" width="35.33203125" bestFit="1" customWidth="1"/>
    <col min="12" max="12" width="34.33203125" customWidth="1"/>
    <col min="27" max="27" width="20.6640625" bestFit="1" customWidth="1"/>
  </cols>
  <sheetData>
    <row r="1" spans="1:38">
      <c r="A1" s="1" t="s">
        <v>0</v>
      </c>
      <c r="B1" s="1" t="s">
        <v>1</v>
      </c>
      <c r="C1" s="2" t="s">
        <v>2</v>
      </c>
      <c r="D1" s="2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1156</v>
      </c>
      <c r="W1" s="36" t="s">
        <v>1155</v>
      </c>
      <c r="X1" s="36" t="s">
        <v>1174</v>
      </c>
      <c r="Y1" s="36" t="s">
        <v>1154</v>
      </c>
      <c r="Z1" s="36" t="s">
        <v>1176</v>
      </c>
    </row>
    <row r="2" spans="1:38" s="45" customFormat="1">
      <c r="A2" s="53">
        <v>4</v>
      </c>
      <c r="B2" s="60" t="s">
        <v>16</v>
      </c>
      <c r="C2" s="60">
        <v>1969</v>
      </c>
      <c r="D2" s="60" t="s">
        <v>17</v>
      </c>
      <c r="E2" s="56" t="s">
        <v>20</v>
      </c>
      <c r="F2" s="54">
        <v>1968</v>
      </c>
      <c r="G2" s="54" t="s">
        <v>21</v>
      </c>
      <c r="H2" s="54" t="s">
        <v>23</v>
      </c>
      <c r="I2" s="54"/>
      <c r="J2" s="54" t="s">
        <v>1013</v>
      </c>
      <c r="K2" s="54" t="s">
        <v>1087</v>
      </c>
      <c r="L2" s="54" t="s">
        <v>27</v>
      </c>
      <c r="M2" s="54"/>
      <c r="N2" s="54"/>
      <c r="O2" s="54" t="s">
        <v>28</v>
      </c>
      <c r="P2" s="54"/>
      <c r="Q2" s="54"/>
      <c r="R2" s="54"/>
      <c r="S2" s="54"/>
      <c r="T2" s="54"/>
      <c r="U2" s="54"/>
      <c r="V2" s="54"/>
      <c r="W2" s="54"/>
      <c r="X2" s="66" t="str">
        <f t="shared" ref="X2:X65" si="0">IF(R2&lt;&gt;0,IF(R2&gt;1,R2/100,R2),IF(U2&lt;&gt;0,IF(U2&gt;1,U2/100,U2),""))</f>
        <v/>
      </c>
      <c r="Y2" s="71">
        <v>32</v>
      </c>
      <c r="Z2" s="192" t="str">
        <f>IF(X2&lt;&gt;"",IF(X2&lt;0.9,"S","F"),"")</f>
        <v/>
      </c>
      <c r="AA2" s="152"/>
      <c r="AB2" s="152" t="s">
        <v>1206</v>
      </c>
      <c r="AC2" s="152" t="s">
        <v>1207</v>
      </c>
      <c r="AD2" s="152" t="s">
        <v>1208</v>
      </c>
      <c r="AE2" s="152" t="s">
        <v>1209</v>
      </c>
      <c r="AF2" s="152" t="s">
        <v>1210</v>
      </c>
      <c r="AG2" s="152" t="s">
        <v>1211</v>
      </c>
      <c r="AH2" s="172"/>
      <c r="AI2" s="172"/>
      <c r="AJ2" s="172"/>
      <c r="AK2" s="172"/>
      <c r="AL2" s="172"/>
    </row>
    <row r="3" spans="1:38" s="45" customFormat="1">
      <c r="A3" s="66"/>
      <c r="B3" s="67" t="s">
        <v>968</v>
      </c>
      <c r="C3" s="171">
        <v>1996</v>
      </c>
      <c r="D3" s="66"/>
      <c r="E3" s="73" t="s">
        <v>172</v>
      </c>
      <c r="F3" s="66"/>
      <c r="G3" s="66"/>
      <c r="H3" s="67" t="s">
        <v>23</v>
      </c>
      <c r="I3" s="67"/>
      <c r="J3" s="66" t="s">
        <v>1013</v>
      </c>
      <c r="K3" s="67" t="s">
        <v>1002</v>
      </c>
      <c r="L3" s="67" t="s">
        <v>1002</v>
      </c>
      <c r="M3" s="67" t="s">
        <v>1003</v>
      </c>
      <c r="N3" s="67"/>
      <c r="O3" s="67" t="s">
        <v>1005</v>
      </c>
      <c r="P3" s="66"/>
      <c r="Q3" s="66"/>
      <c r="R3" s="66"/>
      <c r="S3" s="66"/>
      <c r="T3" s="66"/>
      <c r="U3" s="66"/>
      <c r="V3" s="66">
        <f>118*28/12/2</f>
        <v>137.66666666666666</v>
      </c>
      <c r="W3" s="66"/>
      <c r="X3" s="66" t="str">
        <f t="shared" si="0"/>
        <v/>
      </c>
      <c r="Y3" s="206">
        <f>118*28/12/2</f>
        <v>137.66666666666666</v>
      </c>
      <c r="Z3" s="192" t="s">
        <v>1192</v>
      </c>
      <c r="AA3" s="305" t="s">
        <v>1330</v>
      </c>
      <c r="AB3" s="197">
        <f>AVERAGE($Y$3:$Y$14)</f>
        <v>73.077777777777769</v>
      </c>
      <c r="AC3" s="197">
        <f>MEDIAN($Y$3:$Y$14)</f>
        <v>63</v>
      </c>
      <c r="AD3" s="197">
        <f>MAX($Y$3:$Y$14)</f>
        <v>137.66666666666666</v>
      </c>
      <c r="AE3" s="197">
        <f>MIN($Y$3:$Y$14)</f>
        <v>28</v>
      </c>
      <c r="AF3" s="197">
        <f>STDEV($Y$3:$Y$14)</f>
        <v>29.663102725434239</v>
      </c>
      <c r="AG3" s="198">
        <f>COUNT($Y$3:$Y$14)</f>
        <v>12</v>
      </c>
      <c r="AH3" s="172"/>
      <c r="AI3" s="172"/>
      <c r="AJ3" s="172"/>
      <c r="AK3" s="172"/>
      <c r="AL3" s="172"/>
    </row>
    <row r="4" spans="1:38" s="45" customFormat="1">
      <c r="A4" s="53"/>
      <c r="B4" s="290" t="s">
        <v>1276</v>
      </c>
      <c r="C4" s="291">
        <v>1989</v>
      </c>
      <c r="D4" s="66"/>
      <c r="E4" s="60" t="s">
        <v>49</v>
      </c>
      <c r="F4" s="54"/>
      <c r="G4" s="54"/>
      <c r="H4" s="54"/>
      <c r="I4" s="54"/>
      <c r="J4" s="257" t="s">
        <v>1013</v>
      </c>
      <c r="K4" s="257" t="s">
        <v>1002</v>
      </c>
      <c r="L4" s="54"/>
      <c r="N4" s="54"/>
      <c r="O4" t="s">
        <v>1233</v>
      </c>
      <c r="P4" s="54"/>
      <c r="Q4" s="54"/>
      <c r="R4">
        <v>0.97199999999999998</v>
      </c>
      <c r="S4" s="54"/>
      <c r="T4" s="54"/>
      <c r="U4" s="54"/>
      <c r="V4" s="54"/>
      <c r="W4" s="54"/>
      <c r="X4" s="66">
        <f t="shared" si="0"/>
        <v>0.97199999999999998</v>
      </c>
      <c r="Y4">
        <v>28</v>
      </c>
      <c r="Z4" s="192" t="str">
        <f t="shared" ref="Z4:Z35" si="1">IF(X4&lt;&gt;"",IF(X4&lt;0.9,"S","F"),"")</f>
        <v>F</v>
      </c>
      <c r="AA4" s="305" t="s">
        <v>1331</v>
      </c>
      <c r="AB4" s="197">
        <f>AVERAGE($Y$15:$Y$27)</f>
        <v>153.07692307692307</v>
      </c>
      <c r="AC4" s="197">
        <f>MEDIAN($Y$15:$Y$27)</f>
        <v>160</v>
      </c>
      <c r="AD4" s="197">
        <f>MAX($Y$15:$Y$27)</f>
        <v>198</v>
      </c>
      <c r="AE4" s="197">
        <f>MIN($Y$15:$Y$27)</f>
        <v>94</v>
      </c>
      <c r="AF4" s="197">
        <f>STDEV($Y$15:$Y$27)</f>
        <v>33.695849246016273</v>
      </c>
      <c r="AG4" s="198">
        <f>COUNT($Y$15:$Y$27)</f>
        <v>13</v>
      </c>
      <c r="AH4" s="172" t="s">
        <v>1332</v>
      </c>
      <c r="AI4" s="172"/>
      <c r="AJ4" s="172"/>
      <c r="AK4" s="172"/>
      <c r="AL4" s="172"/>
    </row>
    <row r="5" spans="1:38" s="45" customFormat="1">
      <c r="A5" s="53">
        <v>118</v>
      </c>
      <c r="B5" s="73" t="s">
        <v>399</v>
      </c>
      <c r="C5" s="54">
        <v>1999</v>
      </c>
      <c r="D5" s="73" t="s">
        <v>400</v>
      </c>
      <c r="E5" s="56" t="s">
        <v>20</v>
      </c>
      <c r="F5" s="54">
        <v>1999</v>
      </c>
      <c r="G5" s="54" t="s">
        <v>326</v>
      </c>
      <c r="H5" s="54" t="s">
        <v>159</v>
      </c>
      <c r="I5" s="54"/>
      <c r="J5" s="66" t="s">
        <v>1013</v>
      </c>
      <c r="K5" s="54" t="s">
        <v>1054</v>
      </c>
      <c r="L5" s="54" t="s">
        <v>405</v>
      </c>
      <c r="M5" s="54"/>
      <c r="N5" s="54"/>
      <c r="O5" s="54">
        <v>3</v>
      </c>
      <c r="P5" s="54"/>
      <c r="Q5" s="54"/>
      <c r="R5" s="54"/>
      <c r="S5" s="54"/>
      <c r="T5" s="54"/>
      <c r="U5" s="54">
        <v>0.95</v>
      </c>
      <c r="V5" s="54"/>
      <c r="W5" s="54"/>
      <c r="X5" s="66">
        <f t="shared" si="0"/>
        <v>0.95</v>
      </c>
      <c r="Y5" s="71">
        <v>58.8</v>
      </c>
      <c r="Z5" s="192" t="str">
        <f t="shared" si="1"/>
        <v>F</v>
      </c>
      <c r="AA5" s="66" t="s">
        <v>1333</v>
      </c>
      <c r="AB5" s="66"/>
      <c r="AC5" s="66"/>
      <c r="AD5" s="172"/>
      <c r="AE5" s="172"/>
      <c r="AF5" s="172"/>
      <c r="AG5" s="172"/>
      <c r="AH5" s="172"/>
      <c r="AI5" s="172"/>
      <c r="AJ5" s="172"/>
      <c r="AK5" s="172"/>
      <c r="AL5" s="172"/>
    </row>
    <row r="6" spans="1:38" s="45" customFormat="1">
      <c r="A6" s="53"/>
      <c r="B6" s="290" t="s">
        <v>1276</v>
      </c>
      <c r="C6" s="291">
        <v>1989</v>
      </c>
      <c r="D6" s="66"/>
      <c r="E6" s="60" t="s">
        <v>49</v>
      </c>
      <c r="F6" s="54"/>
      <c r="G6" s="54"/>
      <c r="H6" s="54"/>
      <c r="I6" s="54"/>
      <c r="J6" s="294" t="s">
        <v>1013</v>
      </c>
      <c r="K6" s="294" t="s">
        <v>1002</v>
      </c>
      <c r="L6" s="163"/>
      <c r="M6" s="54"/>
      <c r="N6" s="54"/>
      <c r="O6" t="s">
        <v>1232</v>
      </c>
      <c r="P6" s="54"/>
      <c r="Q6" s="54"/>
      <c r="R6">
        <v>0.94899999999999995</v>
      </c>
      <c r="S6" s="54"/>
      <c r="T6" s="54"/>
      <c r="U6" s="54"/>
      <c r="V6" s="54"/>
      <c r="W6" s="54"/>
      <c r="X6" s="66">
        <f t="shared" si="0"/>
        <v>0.94899999999999995</v>
      </c>
      <c r="Y6">
        <v>50</v>
      </c>
      <c r="Z6" s="192" t="str">
        <f t="shared" si="1"/>
        <v>F</v>
      </c>
      <c r="AA6" s="66"/>
      <c r="AB6" s="66"/>
      <c r="AC6" s="66"/>
      <c r="AD6" s="172"/>
      <c r="AE6" s="172"/>
      <c r="AF6" s="172"/>
      <c r="AG6" s="172"/>
      <c r="AH6" s="172"/>
      <c r="AI6" s="172"/>
      <c r="AJ6" s="172"/>
      <c r="AK6" s="172"/>
      <c r="AL6" s="172"/>
    </row>
    <row r="7" spans="1:38" s="45" customFormat="1">
      <c r="A7" s="53"/>
      <c r="B7" s="290" t="s">
        <v>1276</v>
      </c>
      <c r="C7" s="291">
        <v>1989</v>
      </c>
      <c r="D7" s="66"/>
      <c r="E7" s="60" t="s">
        <v>49</v>
      </c>
      <c r="F7" s="54"/>
      <c r="G7" s="54"/>
      <c r="H7" s="54"/>
      <c r="I7" s="54"/>
      <c r="J7" s="294" t="s">
        <v>1013</v>
      </c>
      <c r="K7" s="294" t="s">
        <v>1002</v>
      </c>
      <c r="L7" s="163"/>
      <c r="M7" s="54"/>
      <c r="N7" s="54"/>
      <c r="O7" t="s">
        <v>1230</v>
      </c>
      <c r="P7" s="54"/>
      <c r="Q7" s="54"/>
      <c r="R7">
        <v>0.94</v>
      </c>
      <c r="S7" s="54"/>
      <c r="T7" s="54"/>
      <c r="U7" s="54"/>
      <c r="V7" s="54"/>
      <c r="W7" s="54"/>
      <c r="X7" s="66">
        <f t="shared" si="0"/>
        <v>0.94</v>
      </c>
      <c r="Y7">
        <v>56</v>
      </c>
      <c r="Z7" s="192" t="str">
        <f t="shared" si="1"/>
        <v>F</v>
      </c>
      <c r="AI7" s="172"/>
      <c r="AJ7" s="172"/>
      <c r="AK7" s="172"/>
      <c r="AL7" s="172"/>
    </row>
    <row r="8" spans="1:38" s="45" customFormat="1">
      <c r="A8" s="53"/>
      <c r="B8" s="290" t="s">
        <v>1276</v>
      </c>
      <c r="C8" s="291">
        <v>1989</v>
      </c>
      <c r="D8" s="66"/>
      <c r="E8" s="60" t="s">
        <v>49</v>
      </c>
      <c r="F8" s="54"/>
      <c r="G8" s="54"/>
      <c r="H8" s="54"/>
      <c r="I8" s="54"/>
      <c r="J8" s="294" t="s">
        <v>1013</v>
      </c>
      <c r="K8" s="294" t="s">
        <v>1002</v>
      </c>
      <c r="L8" s="163"/>
      <c r="M8" s="54"/>
      <c r="N8" s="54"/>
      <c r="O8" t="s">
        <v>1234</v>
      </c>
      <c r="P8" s="54"/>
      <c r="Q8" s="54"/>
      <c r="R8">
        <v>0.93600000000000005</v>
      </c>
      <c r="S8" s="54"/>
      <c r="T8" s="54"/>
      <c r="U8" s="54"/>
      <c r="V8" s="54"/>
      <c r="W8" s="54"/>
      <c r="X8" s="66">
        <f t="shared" si="0"/>
        <v>0.93600000000000005</v>
      </c>
      <c r="Y8">
        <v>63</v>
      </c>
      <c r="Z8" s="192" t="str">
        <f t="shared" si="1"/>
        <v>F</v>
      </c>
      <c r="AI8" s="172"/>
      <c r="AJ8" s="172"/>
      <c r="AK8" s="172"/>
      <c r="AL8" s="172"/>
    </row>
    <row r="9" spans="1:38" s="45" customFormat="1">
      <c r="A9" s="53"/>
      <c r="B9" s="290" t="s">
        <v>1276</v>
      </c>
      <c r="C9" s="291">
        <v>1989</v>
      </c>
      <c r="D9" s="66"/>
      <c r="E9" s="60" t="s">
        <v>49</v>
      </c>
      <c r="F9" s="54"/>
      <c r="G9" s="54"/>
      <c r="H9" s="54"/>
      <c r="I9" s="54"/>
      <c r="J9" s="294" t="s">
        <v>1013</v>
      </c>
      <c r="K9" s="294" t="s">
        <v>1002</v>
      </c>
      <c r="L9" s="163"/>
      <c r="M9" s="54"/>
      <c r="N9" s="54"/>
      <c r="O9" t="s">
        <v>1254</v>
      </c>
      <c r="P9" s="54"/>
      <c r="Q9" s="54"/>
      <c r="R9">
        <v>0.93500000000000005</v>
      </c>
      <c r="S9" s="54"/>
      <c r="T9" s="54"/>
      <c r="U9" s="54"/>
      <c r="V9" s="54"/>
      <c r="W9" s="54"/>
      <c r="X9" s="66">
        <f t="shared" si="0"/>
        <v>0.93500000000000005</v>
      </c>
      <c r="Y9">
        <v>63</v>
      </c>
      <c r="Z9" s="192" t="str">
        <f t="shared" si="1"/>
        <v>F</v>
      </c>
      <c r="AI9" s="172"/>
      <c r="AJ9" s="172"/>
      <c r="AK9" s="172"/>
      <c r="AL9" s="172"/>
    </row>
    <row r="10" spans="1:38" s="45" customFormat="1">
      <c r="A10" s="53"/>
      <c r="B10" s="290" t="s">
        <v>1276</v>
      </c>
      <c r="C10" s="291">
        <v>1989</v>
      </c>
      <c r="D10" s="66"/>
      <c r="E10" s="60" t="s">
        <v>49</v>
      </c>
      <c r="F10" s="54"/>
      <c r="G10" s="54"/>
      <c r="H10" s="54"/>
      <c r="I10" s="54"/>
      <c r="J10" s="294" t="s">
        <v>1013</v>
      </c>
      <c r="K10" s="294" t="s">
        <v>1002</v>
      </c>
      <c r="L10" s="163"/>
      <c r="M10" s="54"/>
      <c r="N10" s="54"/>
      <c r="O10" t="s">
        <v>1235</v>
      </c>
      <c r="P10" s="54"/>
      <c r="Q10" s="54"/>
      <c r="R10">
        <v>0.93300000000000005</v>
      </c>
      <c r="S10" s="54"/>
      <c r="T10" s="54"/>
      <c r="U10" s="54"/>
      <c r="V10" s="54"/>
      <c r="W10" s="54"/>
      <c r="X10" s="66">
        <f t="shared" si="0"/>
        <v>0.93300000000000005</v>
      </c>
      <c r="Y10">
        <v>63</v>
      </c>
      <c r="Z10" s="192" t="str">
        <f t="shared" si="1"/>
        <v>F</v>
      </c>
      <c r="AI10" s="172"/>
      <c r="AJ10" s="172"/>
      <c r="AK10" s="172"/>
      <c r="AL10" s="172"/>
    </row>
    <row r="11" spans="1:38" s="45" customFormat="1">
      <c r="A11" s="53"/>
      <c r="B11" s="290" t="s">
        <v>1276</v>
      </c>
      <c r="C11" s="291">
        <v>1989</v>
      </c>
      <c r="D11" s="66"/>
      <c r="E11" s="60" t="s">
        <v>49</v>
      </c>
      <c r="F11" s="54"/>
      <c r="G11" s="54"/>
      <c r="H11" s="54"/>
      <c r="I11" s="54"/>
      <c r="J11" s="294" t="s">
        <v>1013</v>
      </c>
      <c r="K11" s="294" t="s">
        <v>1002</v>
      </c>
      <c r="L11" s="163"/>
      <c r="M11" s="54"/>
      <c r="N11" s="54"/>
      <c r="O11" t="s">
        <v>1231</v>
      </c>
      <c r="P11" s="54"/>
      <c r="Q11" s="54"/>
      <c r="R11">
        <v>0.93</v>
      </c>
      <c r="S11" s="54"/>
      <c r="T11" s="54"/>
      <c r="U11" s="54"/>
      <c r="V11" s="54"/>
      <c r="W11" s="54"/>
      <c r="X11" s="66">
        <f t="shared" si="0"/>
        <v>0.93</v>
      </c>
      <c r="Y11">
        <v>66</v>
      </c>
      <c r="Z11" s="192" t="str">
        <f t="shared" si="1"/>
        <v>F</v>
      </c>
      <c r="AA11" s="66"/>
      <c r="AB11" s="66"/>
      <c r="AC11" s="66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s="45" customFormat="1">
      <c r="A12" s="53">
        <v>174</v>
      </c>
      <c r="B12" s="54" t="s">
        <v>697</v>
      </c>
      <c r="C12" s="54">
        <v>2009</v>
      </c>
      <c r="D12" s="78" t="s">
        <v>698</v>
      </c>
      <c r="E12" s="56" t="s">
        <v>20</v>
      </c>
      <c r="F12" s="57" t="s">
        <v>701</v>
      </c>
      <c r="G12" s="54" t="s">
        <v>705</v>
      </c>
      <c r="H12" s="54" t="s">
        <v>159</v>
      </c>
      <c r="I12" s="54"/>
      <c r="J12" s="66" t="s">
        <v>1013</v>
      </c>
      <c r="K12" s="54" t="s">
        <v>1087</v>
      </c>
      <c r="L12" s="54" t="s">
        <v>464</v>
      </c>
      <c r="M12" s="59"/>
      <c r="N12" s="59"/>
      <c r="O12" s="54" t="s">
        <v>464</v>
      </c>
      <c r="P12" s="60"/>
      <c r="Q12" s="60"/>
      <c r="R12" s="54"/>
      <c r="S12" s="54"/>
      <c r="T12" s="54"/>
      <c r="U12" s="61">
        <v>0.90600000000000003</v>
      </c>
      <c r="V12" s="61"/>
      <c r="W12" s="61"/>
      <c r="X12" s="66">
        <f t="shared" si="0"/>
        <v>0.90600000000000003</v>
      </c>
      <c r="Y12" s="71">
        <v>106.8</v>
      </c>
      <c r="Z12" s="192" t="str">
        <f t="shared" si="1"/>
        <v>F</v>
      </c>
      <c r="AA12"/>
      <c r="AB12"/>
      <c r="AC12"/>
      <c r="AD12"/>
      <c r="AE12"/>
      <c r="AF12"/>
      <c r="AG12"/>
      <c r="AH12" s="172"/>
      <c r="AI12" s="172"/>
      <c r="AJ12" s="172"/>
      <c r="AK12" s="172"/>
      <c r="AL12" s="172"/>
    </row>
    <row r="13" spans="1:38" s="45" customFormat="1">
      <c r="A13" s="66"/>
      <c r="B13" s="67" t="s">
        <v>968</v>
      </c>
      <c r="C13" s="171">
        <v>1996</v>
      </c>
      <c r="D13" s="66"/>
      <c r="E13" s="73" t="s">
        <v>172</v>
      </c>
      <c r="F13" s="66"/>
      <c r="G13" s="66"/>
      <c r="H13" s="67" t="s">
        <v>95</v>
      </c>
      <c r="I13" s="67"/>
      <c r="J13" s="66" t="s">
        <v>1013</v>
      </c>
      <c r="K13" s="67" t="s">
        <v>1002</v>
      </c>
      <c r="L13" s="67" t="s">
        <v>1002</v>
      </c>
      <c r="M13" s="67" t="s">
        <v>1003</v>
      </c>
      <c r="N13" s="67"/>
      <c r="O13" s="67" t="s">
        <v>1004</v>
      </c>
      <c r="P13" s="66"/>
      <c r="Q13" s="66"/>
      <c r="R13" s="66"/>
      <c r="S13" s="66"/>
      <c r="T13" s="66"/>
      <c r="U13" s="66">
        <v>0.9</v>
      </c>
      <c r="V13" s="66">
        <f>88*28/12/2</f>
        <v>102.66666666666667</v>
      </c>
      <c r="W13" s="66"/>
      <c r="X13" s="66">
        <f t="shared" si="0"/>
        <v>0.9</v>
      </c>
      <c r="Y13" s="206">
        <f>88*28/12/2</f>
        <v>102.66666666666667</v>
      </c>
      <c r="Z13" s="192" t="str">
        <f t="shared" si="1"/>
        <v>F</v>
      </c>
      <c r="AA13" s="66"/>
      <c r="AB13" s="66"/>
      <c r="AC13" s="66"/>
      <c r="AD13" s="172"/>
      <c r="AE13" s="172"/>
      <c r="AF13" s="172"/>
      <c r="AG13" s="172"/>
      <c r="AH13" s="172"/>
      <c r="AI13" s="172"/>
      <c r="AJ13" s="172"/>
      <c r="AK13" s="172"/>
      <c r="AL13" s="172"/>
    </row>
    <row r="14" spans="1:38" s="45" customFormat="1">
      <c r="A14" s="53"/>
      <c r="B14" s="290" t="s">
        <v>1276</v>
      </c>
      <c r="C14" s="291">
        <v>1989</v>
      </c>
      <c r="D14" s="66"/>
      <c r="E14" s="60" t="s">
        <v>49</v>
      </c>
      <c r="F14" s="54"/>
      <c r="G14" s="54"/>
      <c r="H14" s="54"/>
      <c r="I14" s="54"/>
      <c r="J14" s="294" t="s">
        <v>1013</v>
      </c>
      <c r="K14" s="294" t="s">
        <v>1002</v>
      </c>
      <c r="L14" s="163"/>
      <c r="M14" s="54"/>
      <c r="N14" s="54"/>
      <c r="O14" t="s">
        <v>1229</v>
      </c>
      <c r="P14" s="54"/>
      <c r="Q14" s="54"/>
      <c r="R14">
        <v>0.9</v>
      </c>
      <c r="S14" s="54"/>
      <c r="T14" s="54"/>
      <c r="U14" s="54"/>
      <c r="V14" s="54"/>
      <c r="W14" s="54"/>
      <c r="X14" s="66">
        <f t="shared" si="0"/>
        <v>0.9</v>
      </c>
      <c r="Y14">
        <v>82</v>
      </c>
      <c r="Z14" s="192" t="str">
        <f t="shared" si="1"/>
        <v>F</v>
      </c>
      <c r="AA14" s="66"/>
      <c r="AB14" s="66"/>
      <c r="AC14" s="66"/>
      <c r="AD14" s="172"/>
      <c r="AE14" s="172"/>
      <c r="AF14" s="172"/>
      <c r="AG14" s="172"/>
      <c r="AH14" s="172"/>
      <c r="AI14" s="172"/>
      <c r="AJ14" s="172"/>
      <c r="AK14" s="172"/>
      <c r="AL14" s="172"/>
    </row>
    <row r="15" spans="1:38" s="45" customFormat="1">
      <c r="A15" s="53"/>
      <c r="B15" s="290" t="s">
        <v>1276</v>
      </c>
      <c r="C15" s="291">
        <v>1989</v>
      </c>
      <c r="D15" s="66"/>
      <c r="E15" s="60" t="s">
        <v>49</v>
      </c>
      <c r="F15" s="54"/>
      <c r="G15" s="54"/>
      <c r="H15" s="54"/>
      <c r="I15" s="54"/>
      <c r="J15" s="294" t="s">
        <v>1013</v>
      </c>
      <c r="K15" s="294" t="s">
        <v>1002</v>
      </c>
      <c r="L15" s="163"/>
      <c r="M15" s="54"/>
      <c r="N15" s="54"/>
      <c r="O15" t="s">
        <v>1226</v>
      </c>
      <c r="P15" s="54"/>
      <c r="Q15" s="54"/>
      <c r="R15">
        <v>0.89</v>
      </c>
      <c r="S15" s="54"/>
      <c r="T15" s="54"/>
      <c r="U15" s="54"/>
      <c r="V15" s="54"/>
      <c r="W15" s="54"/>
      <c r="X15" s="66">
        <f t="shared" si="0"/>
        <v>0.89</v>
      </c>
      <c r="Y15">
        <v>112</v>
      </c>
      <c r="Z15" s="192" t="str">
        <f t="shared" si="1"/>
        <v>S</v>
      </c>
      <c r="AA15" s="66"/>
      <c r="AB15" s="66"/>
      <c r="AC15" s="66"/>
      <c r="AD15" s="172"/>
      <c r="AE15" s="172"/>
      <c r="AF15" s="172"/>
      <c r="AG15" s="172"/>
      <c r="AH15" s="172"/>
      <c r="AI15" s="172"/>
      <c r="AJ15" s="172"/>
      <c r="AK15" s="172"/>
      <c r="AL15" s="172"/>
    </row>
    <row r="16" spans="1:38" s="45" customFormat="1">
      <c r="A16" s="53"/>
      <c r="B16" s="290" t="s">
        <v>1276</v>
      </c>
      <c r="C16" s="291">
        <v>1989</v>
      </c>
      <c r="D16" s="66"/>
      <c r="E16" s="60" t="s">
        <v>49</v>
      </c>
      <c r="F16" s="54"/>
      <c r="G16" s="54"/>
      <c r="H16" s="54"/>
      <c r="I16" s="54"/>
      <c r="J16" s="294" t="s">
        <v>1013</v>
      </c>
      <c r="K16" s="294" t="s">
        <v>1002</v>
      </c>
      <c r="L16" s="163"/>
      <c r="M16" s="54"/>
      <c r="N16" s="54"/>
      <c r="O16" t="s">
        <v>1228</v>
      </c>
      <c r="P16" s="54"/>
      <c r="Q16" s="54"/>
      <c r="R16">
        <v>0.89</v>
      </c>
      <c r="S16" s="54"/>
      <c r="T16" s="54"/>
      <c r="U16" s="54"/>
      <c r="V16" s="54"/>
      <c r="W16" s="54"/>
      <c r="X16" s="66">
        <f t="shared" si="0"/>
        <v>0.89</v>
      </c>
      <c r="Y16">
        <v>101</v>
      </c>
      <c r="Z16" s="192" t="str">
        <f t="shared" si="1"/>
        <v>S</v>
      </c>
      <c r="AA16" s="66"/>
      <c r="AB16" s="66"/>
      <c r="AC16" s="66"/>
      <c r="AD16" s="172"/>
      <c r="AE16" s="172"/>
      <c r="AF16" s="172"/>
      <c r="AG16" s="172"/>
      <c r="AH16" s="172"/>
      <c r="AI16" s="172"/>
      <c r="AJ16" s="172"/>
      <c r="AK16" s="172"/>
      <c r="AL16" s="172"/>
    </row>
    <row r="17" spans="1:38" s="45" customFormat="1">
      <c r="A17" s="53"/>
      <c r="B17" s="290" t="s">
        <v>1276</v>
      </c>
      <c r="C17" s="291">
        <v>1989</v>
      </c>
      <c r="D17" s="66"/>
      <c r="E17" s="60" t="s">
        <v>49</v>
      </c>
      <c r="F17" s="54"/>
      <c r="G17" s="54"/>
      <c r="H17" s="54"/>
      <c r="I17" s="54"/>
      <c r="J17" s="294" t="s">
        <v>1013</v>
      </c>
      <c r="K17" s="294" t="s">
        <v>1002</v>
      </c>
      <c r="L17" s="163"/>
      <c r="M17" s="54"/>
      <c r="N17" s="54"/>
      <c r="O17" t="s">
        <v>1227</v>
      </c>
      <c r="P17" s="54"/>
      <c r="Q17" s="54"/>
      <c r="R17">
        <v>0.88</v>
      </c>
      <c r="S17" s="54"/>
      <c r="T17" s="54"/>
      <c r="U17" s="54"/>
      <c r="V17" s="54"/>
      <c r="W17" s="54"/>
      <c r="X17" s="66">
        <f t="shared" si="0"/>
        <v>0.88</v>
      </c>
      <c r="Y17">
        <v>94</v>
      </c>
      <c r="Z17" s="192" t="str">
        <f t="shared" si="1"/>
        <v>S</v>
      </c>
      <c r="AA17"/>
      <c r="AB17"/>
      <c r="AC17"/>
      <c r="AD17"/>
      <c r="AE17"/>
      <c r="AF17"/>
      <c r="AG17"/>
      <c r="AH17" s="172"/>
      <c r="AI17" s="172"/>
      <c r="AJ17" s="172"/>
      <c r="AK17" s="172"/>
      <c r="AL17" s="172"/>
    </row>
    <row r="18" spans="1:38" s="45" customFormat="1">
      <c r="A18" s="53"/>
      <c r="B18" s="290" t="s">
        <v>1276</v>
      </c>
      <c r="C18" s="291">
        <v>1989</v>
      </c>
      <c r="D18" s="66"/>
      <c r="E18" s="60" t="s">
        <v>49</v>
      </c>
      <c r="F18" s="54"/>
      <c r="G18" s="54"/>
      <c r="H18" s="54"/>
      <c r="I18" s="54"/>
      <c r="J18" s="294" t="s">
        <v>1013</v>
      </c>
      <c r="K18" s="294" t="s">
        <v>1002</v>
      </c>
      <c r="L18" s="163"/>
      <c r="M18" s="54"/>
      <c r="N18" s="54"/>
      <c r="O18" t="s">
        <v>1250</v>
      </c>
      <c r="P18" s="54"/>
      <c r="Q18" s="54"/>
      <c r="R18">
        <v>0.85</v>
      </c>
      <c r="S18" s="54"/>
      <c r="T18" s="54"/>
      <c r="U18" s="54"/>
      <c r="V18" s="54"/>
      <c r="W18" s="54"/>
      <c r="X18" s="66">
        <f t="shared" si="0"/>
        <v>0.85</v>
      </c>
      <c r="Y18">
        <v>142</v>
      </c>
      <c r="Z18" s="192" t="str">
        <f t="shared" si="1"/>
        <v>S</v>
      </c>
      <c r="AA18"/>
      <c r="AB18"/>
      <c r="AC18"/>
      <c r="AD18"/>
      <c r="AE18"/>
      <c r="AF18"/>
      <c r="AG18"/>
      <c r="AH18" s="172"/>
      <c r="AI18" s="172"/>
      <c r="AJ18" s="172"/>
      <c r="AK18" s="172"/>
      <c r="AL18" s="172"/>
    </row>
    <row r="19" spans="1:38" s="45" customFormat="1">
      <c r="A19" s="53"/>
      <c r="B19" s="290" t="s">
        <v>1276</v>
      </c>
      <c r="C19" s="291">
        <v>1989</v>
      </c>
      <c r="D19" s="66"/>
      <c r="E19" s="60" t="s">
        <v>49</v>
      </c>
      <c r="F19" s="54"/>
      <c r="G19" s="54"/>
      <c r="H19" s="54"/>
      <c r="I19" s="54"/>
      <c r="J19" s="294" t="s">
        <v>1013</v>
      </c>
      <c r="K19" s="294" t="s">
        <v>1002</v>
      </c>
      <c r="L19" s="163"/>
      <c r="M19" s="54"/>
      <c r="N19" s="54"/>
      <c r="O19" t="s">
        <v>1255</v>
      </c>
      <c r="P19" s="54"/>
      <c r="Q19" s="54"/>
      <c r="R19">
        <v>0.84599999999999997</v>
      </c>
      <c r="S19" s="54"/>
      <c r="T19" s="54"/>
      <c r="U19" s="54"/>
      <c r="V19" s="54"/>
      <c r="W19" s="54"/>
      <c r="X19" s="66">
        <f t="shared" si="0"/>
        <v>0.84599999999999997</v>
      </c>
      <c r="Y19">
        <v>151</v>
      </c>
      <c r="Z19" s="192" t="str">
        <f t="shared" si="1"/>
        <v>S</v>
      </c>
      <c r="AA19"/>
      <c r="AB19"/>
      <c r="AC19"/>
      <c r="AD19"/>
      <c r="AE19"/>
      <c r="AF19"/>
      <c r="AG19"/>
      <c r="AI19" s="172"/>
      <c r="AJ19" s="172"/>
      <c r="AK19" s="172"/>
      <c r="AL19" s="172"/>
    </row>
    <row r="20" spans="1:38" s="45" customFormat="1">
      <c r="A20" s="53"/>
      <c r="B20" s="290" t="s">
        <v>1276</v>
      </c>
      <c r="C20" s="291">
        <v>1989</v>
      </c>
      <c r="D20" s="66"/>
      <c r="E20" s="60" t="s">
        <v>49</v>
      </c>
      <c r="F20" s="54"/>
      <c r="G20" s="54"/>
      <c r="H20" s="54"/>
      <c r="I20" s="54"/>
      <c r="J20" s="294" t="s">
        <v>1013</v>
      </c>
      <c r="K20" s="294" t="s">
        <v>1002</v>
      </c>
      <c r="L20" s="163"/>
      <c r="M20" s="54"/>
      <c r="N20" s="54"/>
      <c r="O20" t="s">
        <v>1252</v>
      </c>
      <c r="P20" s="54"/>
      <c r="Q20" s="54"/>
      <c r="R20">
        <v>0.84099999999999997</v>
      </c>
      <c r="S20" s="54"/>
      <c r="T20" s="54"/>
      <c r="U20" s="54"/>
      <c r="V20" s="54"/>
      <c r="W20" s="54"/>
      <c r="X20" s="66">
        <f t="shared" si="0"/>
        <v>0.84099999999999997</v>
      </c>
      <c r="Y20">
        <v>160</v>
      </c>
      <c r="Z20" s="192" t="str">
        <f t="shared" si="1"/>
        <v>S</v>
      </c>
      <c r="AA20"/>
      <c r="AB20"/>
      <c r="AC20"/>
      <c r="AD20"/>
      <c r="AE20"/>
      <c r="AF20"/>
      <c r="AG20"/>
      <c r="AI20" s="172"/>
      <c r="AJ20" s="172"/>
      <c r="AK20" s="172"/>
      <c r="AL20" s="172"/>
    </row>
    <row r="21" spans="1:38" s="45" customFormat="1">
      <c r="A21" s="53"/>
      <c r="B21" s="290" t="s">
        <v>1276</v>
      </c>
      <c r="C21" s="291">
        <v>1989</v>
      </c>
      <c r="D21" s="66"/>
      <c r="E21" s="60" t="s">
        <v>49</v>
      </c>
      <c r="F21" s="54"/>
      <c r="G21" s="54"/>
      <c r="H21" s="54"/>
      <c r="I21" s="54"/>
      <c r="J21" s="294" t="s">
        <v>1013</v>
      </c>
      <c r="K21" s="294" t="s">
        <v>1002</v>
      </c>
      <c r="L21" s="163"/>
      <c r="M21" s="54"/>
      <c r="N21" s="54"/>
      <c r="O21" t="s">
        <v>1247</v>
      </c>
      <c r="P21" s="54"/>
      <c r="Q21" s="54"/>
      <c r="R21">
        <v>0.83</v>
      </c>
      <c r="S21" s="54"/>
      <c r="T21" s="54"/>
      <c r="U21" s="54"/>
      <c r="V21" s="54"/>
      <c r="W21" s="54"/>
      <c r="X21" s="66">
        <f t="shared" si="0"/>
        <v>0.83</v>
      </c>
      <c r="Y21">
        <v>169</v>
      </c>
      <c r="Z21" s="192" t="str">
        <f t="shared" si="1"/>
        <v>S</v>
      </c>
      <c r="AI21" s="172"/>
      <c r="AJ21" s="172"/>
      <c r="AK21" s="172"/>
      <c r="AL21" s="172"/>
    </row>
    <row r="22" spans="1:38" s="45" customFormat="1">
      <c r="A22" s="53"/>
      <c r="B22" s="290" t="s">
        <v>1276</v>
      </c>
      <c r="C22" s="291">
        <v>1989</v>
      </c>
      <c r="D22" s="66"/>
      <c r="E22" s="60" t="s">
        <v>49</v>
      </c>
      <c r="F22" s="54"/>
      <c r="G22" s="54"/>
      <c r="H22" s="54"/>
      <c r="I22" s="54"/>
      <c r="J22" s="294" t="s">
        <v>1013</v>
      </c>
      <c r="K22" s="294" t="s">
        <v>1002</v>
      </c>
      <c r="L22" s="163"/>
      <c r="M22" s="54"/>
      <c r="N22" s="54"/>
      <c r="O22" t="s">
        <v>1253</v>
      </c>
      <c r="P22" s="54"/>
      <c r="Q22" s="54"/>
      <c r="R22">
        <v>0.82199999999999995</v>
      </c>
      <c r="S22" s="54"/>
      <c r="T22" s="54"/>
      <c r="U22" s="54"/>
      <c r="V22" s="54"/>
      <c r="W22" s="54"/>
      <c r="X22" s="66">
        <f t="shared" si="0"/>
        <v>0.82199999999999995</v>
      </c>
      <c r="Y22">
        <v>176</v>
      </c>
      <c r="Z22" s="192" t="str">
        <f t="shared" si="1"/>
        <v>S</v>
      </c>
      <c r="AA22" s="66"/>
      <c r="AB22" s="66"/>
      <c r="AC22" s="66"/>
      <c r="AD22" s="172"/>
      <c r="AE22" s="172"/>
      <c r="AF22" s="172"/>
      <c r="AG22" s="172"/>
      <c r="AH22" s="172"/>
      <c r="AI22" s="172"/>
      <c r="AJ22" s="172"/>
      <c r="AK22" s="172"/>
      <c r="AL22" s="172"/>
    </row>
    <row r="23" spans="1:38" s="45" customFormat="1">
      <c r="A23" s="53"/>
      <c r="B23" s="290" t="s">
        <v>1276</v>
      </c>
      <c r="C23" s="291">
        <v>1989</v>
      </c>
      <c r="D23" s="66"/>
      <c r="E23" s="60" t="s">
        <v>49</v>
      </c>
      <c r="F23" s="54"/>
      <c r="G23" s="54"/>
      <c r="H23" s="54"/>
      <c r="I23" s="54"/>
      <c r="J23" s="294" t="s">
        <v>1013</v>
      </c>
      <c r="K23" s="294" t="s">
        <v>1002</v>
      </c>
      <c r="L23" s="163"/>
      <c r="M23" s="54"/>
      <c r="N23" s="54"/>
      <c r="O23" t="s">
        <v>1249</v>
      </c>
      <c r="P23" s="54"/>
      <c r="Q23" s="54"/>
      <c r="R23">
        <v>0.81599999999999995</v>
      </c>
      <c r="S23" s="54"/>
      <c r="T23" s="54"/>
      <c r="U23" s="54"/>
      <c r="V23" s="54"/>
      <c r="W23" s="54"/>
      <c r="X23" s="66">
        <f t="shared" si="0"/>
        <v>0.81599999999999995</v>
      </c>
      <c r="Y23">
        <v>179</v>
      </c>
      <c r="Z23" s="192" t="str">
        <f t="shared" si="1"/>
        <v>S</v>
      </c>
      <c r="AI23" s="172"/>
      <c r="AJ23" s="172"/>
      <c r="AK23" s="172"/>
      <c r="AL23" s="172"/>
    </row>
    <row r="24" spans="1:38" s="45" customFormat="1">
      <c r="A24" s="53"/>
      <c r="B24" s="290" t="s">
        <v>1276</v>
      </c>
      <c r="C24" s="291">
        <v>1989</v>
      </c>
      <c r="D24" s="66"/>
      <c r="E24" s="60" t="s">
        <v>49</v>
      </c>
      <c r="F24" s="54"/>
      <c r="G24" s="54"/>
      <c r="H24" s="54"/>
      <c r="I24" s="54"/>
      <c r="J24" s="294" t="s">
        <v>1013</v>
      </c>
      <c r="K24" s="294" t="s">
        <v>1002</v>
      </c>
      <c r="L24" s="163"/>
      <c r="M24" s="54"/>
      <c r="N24" s="54"/>
      <c r="O24" t="s">
        <v>1240</v>
      </c>
      <c r="P24" s="54"/>
      <c r="Q24" s="54"/>
      <c r="R24">
        <v>0.81399999999999995</v>
      </c>
      <c r="S24" s="54"/>
      <c r="T24" s="54"/>
      <c r="U24" s="54"/>
      <c r="V24" s="54"/>
      <c r="W24" s="54"/>
      <c r="X24" s="66">
        <f t="shared" si="0"/>
        <v>0.81399999999999995</v>
      </c>
      <c r="Y24">
        <v>140</v>
      </c>
      <c r="Z24" s="192" t="str">
        <f t="shared" si="1"/>
        <v>S</v>
      </c>
      <c r="AA24" s="66"/>
      <c r="AB24" s="66"/>
      <c r="AC24" s="66"/>
      <c r="AD24" s="172"/>
      <c r="AE24" s="172"/>
      <c r="AF24" s="172"/>
      <c r="AG24" s="172"/>
      <c r="AH24" s="172"/>
      <c r="AI24" s="172"/>
      <c r="AJ24" s="172"/>
      <c r="AK24" s="172"/>
      <c r="AL24" s="172"/>
    </row>
    <row r="25" spans="1:38" s="45" customFormat="1">
      <c r="A25" s="53"/>
      <c r="B25" s="290" t="s">
        <v>1276</v>
      </c>
      <c r="C25" s="291">
        <v>1989</v>
      </c>
      <c r="D25" s="66"/>
      <c r="E25" s="60" t="s">
        <v>49</v>
      </c>
      <c r="F25" s="54"/>
      <c r="G25" s="54"/>
      <c r="H25" s="54"/>
      <c r="I25" s="54"/>
      <c r="J25" s="294" t="s">
        <v>1013</v>
      </c>
      <c r="K25" s="294" t="s">
        <v>1002</v>
      </c>
      <c r="L25" s="163"/>
      <c r="M25" s="54"/>
      <c r="N25" s="54"/>
      <c r="O25" t="s">
        <v>1248</v>
      </c>
      <c r="P25" s="54"/>
      <c r="Q25" s="54"/>
      <c r="R25">
        <v>0.81299999999999994</v>
      </c>
      <c r="S25" s="54"/>
      <c r="T25" s="54"/>
      <c r="U25" s="54"/>
      <c r="V25" s="54"/>
      <c r="W25" s="54"/>
      <c r="X25" s="66">
        <f t="shared" si="0"/>
        <v>0.81299999999999994</v>
      </c>
      <c r="Y25">
        <v>182</v>
      </c>
      <c r="Z25" s="192" t="str">
        <f t="shared" si="1"/>
        <v>S</v>
      </c>
      <c r="AA25" s="66"/>
      <c r="AB25" s="66"/>
      <c r="AC25" s="66"/>
      <c r="AD25" s="172"/>
      <c r="AE25" s="172"/>
      <c r="AF25" s="172"/>
      <c r="AG25" s="172"/>
      <c r="AH25" s="172"/>
      <c r="AI25" s="172"/>
      <c r="AJ25" s="172"/>
      <c r="AK25" s="172"/>
      <c r="AL25" s="172"/>
    </row>
    <row r="26" spans="1:38" s="45" customFormat="1">
      <c r="A26" s="53"/>
      <c r="B26" s="290" t="s">
        <v>1276</v>
      </c>
      <c r="C26" s="291">
        <v>1989</v>
      </c>
      <c r="D26" s="66"/>
      <c r="E26" s="60" t="s">
        <v>49</v>
      </c>
      <c r="F26" s="54"/>
      <c r="G26" s="54"/>
      <c r="H26" s="54"/>
      <c r="I26" s="54"/>
      <c r="J26" s="294" t="s">
        <v>1013</v>
      </c>
      <c r="K26" s="294" t="s">
        <v>1002</v>
      </c>
      <c r="L26" s="163"/>
      <c r="M26" s="54"/>
      <c r="N26" s="54"/>
      <c r="O26" t="s">
        <v>1251</v>
      </c>
      <c r="P26" s="54"/>
      <c r="Q26" s="54"/>
      <c r="R26">
        <v>0.80500000000000005</v>
      </c>
      <c r="S26" s="54"/>
      <c r="T26" s="54"/>
      <c r="U26" s="54"/>
      <c r="V26" s="54"/>
      <c r="W26" s="54"/>
      <c r="X26" s="66">
        <f t="shared" si="0"/>
        <v>0.80500000000000005</v>
      </c>
      <c r="Y26">
        <v>186</v>
      </c>
      <c r="Z26" s="192" t="str">
        <f t="shared" si="1"/>
        <v>S</v>
      </c>
      <c r="AA26" s="66"/>
      <c r="AB26" s="66"/>
      <c r="AC26" s="66"/>
      <c r="AD26" s="172"/>
      <c r="AE26" s="172"/>
      <c r="AF26" s="172"/>
      <c r="AG26" s="172"/>
      <c r="AH26" s="172"/>
      <c r="AI26" s="172"/>
      <c r="AJ26" s="172"/>
      <c r="AK26" s="172"/>
      <c r="AL26" s="172"/>
    </row>
    <row r="27" spans="1:38" s="45" customFormat="1">
      <c r="A27" s="53"/>
      <c r="B27" s="290" t="s">
        <v>1276</v>
      </c>
      <c r="C27" s="291">
        <v>1989</v>
      </c>
      <c r="D27" s="66"/>
      <c r="E27" s="60" t="s">
        <v>49</v>
      </c>
      <c r="F27" s="54"/>
      <c r="G27" s="54"/>
      <c r="H27" s="54"/>
      <c r="I27" s="54"/>
      <c r="J27" s="294" t="s">
        <v>1013</v>
      </c>
      <c r="K27" s="294" t="s">
        <v>1002</v>
      </c>
      <c r="L27" s="163"/>
      <c r="M27" s="54"/>
      <c r="N27" s="54"/>
      <c r="O27" t="s">
        <v>1236</v>
      </c>
      <c r="P27" s="54"/>
      <c r="Q27" s="54"/>
      <c r="R27">
        <v>0.8</v>
      </c>
      <c r="S27" s="54"/>
      <c r="T27" s="54"/>
      <c r="U27" s="54"/>
      <c r="V27" s="54"/>
      <c r="W27" s="54"/>
      <c r="X27" s="66">
        <f t="shared" si="0"/>
        <v>0.8</v>
      </c>
      <c r="Y27">
        <v>198</v>
      </c>
      <c r="Z27" s="192" t="str">
        <f t="shared" si="1"/>
        <v>S</v>
      </c>
      <c r="AA27" s="66"/>
      <c r="AB27" s="66"/>
      <c r="AC27" s="66"/>
      <c r="AD27" s="172"/>
      <c r="AE27" s="172"/>
      <c r="AF27" s="172"/>
      <c r="AG27" s="172"/>
      <c r="AH27" s="172"/>
      <c r="AI27" s="172"/>
      <c r="AJ27" s="172"/>
      <c r="AK27" s="172"/>
      <c r="AL27" s="172"/>
    </row>
    <row r="28" spans="1:38" s="45" customFormat="1">
      <c r="A28" s="53"/>
      <c r="B28" s="290" t="s">
        <v>1276</v>
      </c>
      <c r="C28" s="291">
        <v>1989</v>
      </c>
      <c r="D28" s="66"/>
      <c r="E28" s="60" t="s">
        <v>49</v>
      </c>
      <c r="F28" s="54"/>
      <c r="G28" s="54"/>
      <c r="H28" s="54"/>
      <c r="I28" s="54"/>
      <c r="J28" s="294" t="s">
        <v>1013</v>
      </c>
      <c r="K28" s="294" t="s">
        <v>1002</v>
      </c>
      <c r="L28" s="163"/>
      <c r="M28" s="54"/>
      <c r="N28" s="54"/>
      <c r="O28" t="s">
        <v>1241</v>
      </c>
      <c r="P28" s="54"/>
      <c r="Q28" s="54"/>
      <c r="R28">
        <v>0.79400000000000004</v>
      </c>
      <c r="S28" s="54"/>
      <c r="T28" s="54"/>
      <c r="U28" s="54"/>
      <c r="V28" s="54"/>
      <c r="W28" s="54"/>
      <c r="X28" s="66">
        <f t="shared" si="0"/>
        <v>0.79400000000000004</v>
      </c>
      <c r="Y28">
        <v>197</v>
      </c>
      <c r="Z28" s="192" t="str">
        <f t="shared" si="1"/>
        <v>S</v>
      </c>
      <c r="AA28" s="66"/>
      <c r="AB28" s="66"/>
      <c r="AC28" s="66"/>
      <c r="AD28" s="172"/>
      <c r="AE28" s="172"/>
      <c r="AF28" s="172"/>
      <c r="AG28" s="172"/>
      <c r="AH28" s="172"/>
      <c r="AI28" s="172"/>
      <c r="AJ28" s="172"/>
      <c r="AK28" s="172"/>
      <c r="AL28" s="172"/>
    </row>
    <row r="29" spans="1:38" s="45" customFormat="1">
      <c r="A29" s="53"/>
      <c r="B29" s="290" t="s">
        <v>1276</v>
      </c>
      <c r="C29" s="291">
        <v>1989</v>
      </c>
      <c r="D29" s="66"/>
      <c r="E29" s="60" t="s">
        <v>49</v>
      </c>
      <c r="F29" s="54"/>
      <c r="G29" s="54"/>
      <c r="H29" s="54"/>
      <c r="I29" s="54"/>
      <c r="J29" s="294" t="s">
        <v>1013</v>
      </c>
      <c r="K29" s="294" t="s">
        <v>1002</v>
      </c>
      <c r="L29" s="163"/>
      <c r="M29" s="54"/>
      <c r="N29" s="54"/>
      <c r="O29" t="s">
        <v>1243</v>
      </c>
      <c r="P29" s="54"/>
      <c r="Q29" s="54"/>
      <c r="R29">
        <v>0.78900000000000003</v>
      </c>
      <c r="S29" s="54"/>
      <c r="T29" s="54"/>
      <c r="U29" s="54"/>
      <c r="V29" s="54"/>
      <c r="W29" s="54"/>
      <c r="X29" s="66">
        <f t="shared" si="0"/>
        <v>0.78900000000000003</v>
      </c>
      <c r="Y29">
        <v>214</v>
      </c>
      <c r="Z29" s="192" t="str">
        <f t="shared" si="1"/>
        <v>S</v>
      </c>
      <c r="AA29" s="66"/>
      <c r="AB29" s="66"/>
      <c r="AC29" s="66"/>
      <c r="AD29" s="172"/>
      <c r="AE29" s="172"/>
      <c r="AF29" s="172"/>
      <c r="AG29" s="172"/>
      <c r="AH29" s="172"/>
      <c r="AI29" s="172"/>
      <c r="AJ29" s="172"/>
      <c r="AK29" s="172"/>
      <c r="AL29" s="172"/>
    </row>
    <row r="30" spans="1:38" s="45" customFormat="1">
      <c r="A30" s="53"/>
      <c r="B30" s="290" t="s">
        <v>1276</v>
      </c>
      <c r="C30" s="291">
        <v>1989</v>
      </c>
      <c r="D30" s="66"/>
      <c r="E30" s="60" t="s">
        <v>49</v>
      </c>
      <c r="F30" s="54"/>
      <c r="G30" s="54"/>
      <c r="H30" s="54"/>
      <c r="I30" s="54"/>
      <c r="J30" s="294" t="s">
        <v>1013</v>
      </c>
      <c r="K30" s="294" t="s">
        <v>1002</v>
      </c>
      <c r="L30" s="163"/>
      <c r="M30" s="54"/>
      <c r="N30" s="54"/>
      <c r="O30" t="s">
        <v>1238</v>
      </c>
      <c r="P30" s="54"/>
      <c r="Q30" s="54"/>
      <c r="R30">
        <v>0.78400000000000003</v>
      </c>
      <c r="S30" s="54"/>
      <c r="T30" s="54"/>
      <c r="U30" s="54"/>
      <c r="V30" s="54"/>
      <c r="W30" s="54"/>
      <c r="X30" s="66">
        <f t="shared" si="0"/>
        <v>0.78400000000000003</v>
      </c>
      <c r="Y30">
        <v>211</v>
      </c>
      <c r="Z30" s="192" t="str">
        <f t="shared" si="1"/>
        <v>S</v>
      </c>
      <c r="AA30" s="66"/>
      <c r="AB30" s="66"/>
      <c r="AC30" s="66"/>
      <c r="AD30" s="172"/>
      <c r="AE30" s="172"/>
      <c r="AF30" s="172"/>
      <c r="AG30" s="172"/>
      <c r="AH30" s="172"/>
      <c r="AI30" s="172"/>
      <c r="AJ30" s="172"/>
      <c r="AK30" s="172"/>
      <c r="AL30" s="172"/>
    </row>
    <row r="31" spans="1:38" s="45" customFormat="1">
      <c r="A31" s="53"/>
      <c r="B31" s="290" t="s">
        <v>1276</v>
      </c>
      <c r="C31" s="291">
        <v>1989</v>
      </c>
      <c r="D31" s="66"/>
      <c r="E31" s="60" t="s">
        <v>49</v>
      </c>
      <c r="F31" s="54"/>
      <c r="G31" s="54"/>
      <c r="H31" s="54"/>
      <c r="I31" s="54"/>
      <c r="J31" s="294" t="s">
        <v>1013</v>
      </c>
      <c r="K31" s="294" t="s">
        <v>1002</v>
      </c>
      <c r="L31" s="163"/>
      <c r="M31" s="54"/>
      <c r="N31" s="54"/>
      <c r="O31" t="s">
        <v>1244</v>
      </c>
      <c r="P31" s="54"/>
      <c r="Q31" s="54"/>
      <c r="R31">
        <v>0.77500000000000002</v>
      </c>
      <c r="S31" s="54"/>
      <c r="T31" s="54"/>
      <c r="U31" s="54"/>
      <c r="V31" s="54"/>
      <c r="W31" s="54"/>
      <c r="X31" s="66">
        <f t="shared" si="0"/>
        <v>0.77500000000000002</v>
      </c>
      <c r="Y31">
        <v>222</v>
      </c>
      <c r="Z31" s="192" t="str">
        <f t="shared" si="1"/>
        <v>S</v>
      </c>
      <c r="AA31" s="66"/>
      <c r="AB31" s="66"/>
      <c r="AC31" s="66"/>
      <c r="AD31" s="172"/>
      <c r="AE31" s="172"/>
      <c r="AF31" s="172"/>
      <c r="AG31" s="172"/>
      <c r="AH31" s="172"/>
      <c r="AI31" s="172"/>
      <c r="AJ31" s="172"/>
      <c r="AK31" s="172"/>
      <c r="AL31" s="172"/>
    </row>
    <row r="32" spans="1:38" s="45" customFormat="1">
      <c r="A32" s="53"/>
      <c r="B32" s="290" t="s">
        <v>1276</v>
      </c>
      <c r="C32" s="291">
        <v>1989</v>
      </c>
      <c r="D32" s="66"/>
      <c r="E32" s="60" t="s">
        <v>49</v>
      </c>
      <c r="F32" s="54"/>
      <c r="G32" s="54"/>
      <c r="H32" s="54"/>
      <c r="I32" s="54"/>
      <c r="J32" s="294" t="s">
        <v>1013</v>
      </c>
      <c r="K32" s="294" t="s">
        <v>1002</v>
      </c>
      <c r="L32" s="163"/>
      <c r="M32" s="54"/>
      <c r="N32" s="54"/>
      <c r="O32" t="s">
        <v>1242</v>
      </c>
      <c r="P32" s="54"/>
      <c r="Q32" s="54"/>
      <c r="R32">
        <v>0.77500000000000002</v>
      </c>
      <c r="S32" s="54"/>
      <c r="T32" s="54"/>
      <c r="U32" s="54"/>
      <c r="V32" s="54"/>
      <c r="W32" s="54"/>
      <c r="X32" s="66">
        <f t="shared" si="0"/>
        <v>0.77500000000000002</v>
      </c>
      <c r="Y32">
        <v>215</v>
      </c>
      <c r="Z32" s="192" t="str">
        <f t="shared" si="1"/>
        <v>S</v>
      </c>
      <c r="AA32" s="66"/>
      <c r="AB32" s="66"/>
      <c r="AC32" s="66"/>
      <c r="AD32" s="172"/>
      <c r="AE32" s="172"/>
      <c r="AF32" s="172"/>
      <c r="AG32" s="172"/>
      <c r="AH32" s="172"/>
      <c r="AI32" s="172"/>
      <c r="AJ32" s="172"/>
      <c r="AK32" s="172"/>
      <c r="AL32" s="172"/>
    </row>
    <row r="33" spans="1:38" s="45" customFormat="1">
      <c r="A33" s="53"/>
      <c r="B33" s="290" t="s">
        <v>1276</v>
      </c>
      <c r="C33" s="291">
        <v>1989</v>
      </c>
      <c r="D33" s="66"/>
      <c r="E33" s="60" t="s">
        <v>49</v>
      </c>
      <c r="F33" s="54"/>
      <c r="G33" s="54"/>
      <c r="H33" s="54"/>
      <c r="I33" s="54"/>
      <c r="J33" s="294" t="s">
        <v>1013</v>
      </c>
      <c r="K33" s="294" t="s">
        <v>1002</v>
      </c>
      <c r="L33" s="163"/>
      <c r="M33" s="54"/>
      <c r="N33" s="54"/>
      <c r="O33" t="s">
        <v>1237</v>
      </c>
      <c r="P33" s="54"/>
      <c r="Q33" s="54"/>
      <c r="R33">
        <v>0.77</v>
      </c>
      <c r="S33" s="54"/>
      <c r="T33" s="54"/>
      <c r="U33" s="54"/>
      <c r="V33" s="54"/>
      <c r="W33" s="54"/>
      <c r="X33" s="66">
        <f t="shared" si="0"/>
        <v>0.77</v>
      </c>
      <c r="Y33">
        <v>231</v>
      </c>
      <c r="Z33" s="192" t="str">
        <f t="shared" si="1"/>
        <v>S</v>
      </c>
      <c r="AA33" s="66"/>
      <c r="AB33" s="66"/>
      <c r="AC33" s="66"/>
      <c r="AD33" s="172"/>
      <c r="AE33" s="172"/>
      <c r="AF33" s="172"/>
      <c r="AG33" s="172"/>
      <c r="AH33" s="172"/>
      <c r="AI33" s="172"/>
      <c r="AJ33" s="172"/>
      <c r="AK33" s="172"/>
      <c r="AL33" s="172"/>
    </row>
    <row r="34" spans="1:38" s="45" customFormat="1">
      <c r="A34" s="53"/>
      <c r="B34" s="290" t="s">
        <v>1276</v>
      </c>
      <c r="C34" s="291">
        <v>1989</v>
      </c>
      <c r="D34" s="66"/>
      <c r="E34" s="60" t="s">
        <v>49</v>
      </c>
      <c r="F34" s="54"/>
      <c r="G34" s="54"/>
      <c r="H34" s="54"/>
      <c r="I34" s="54"/>
      <c r="J34" s="294" t="s">
        <v>1013</v>
      </c>
      <c r="K34" s="294" t="s">
        <v>1002</v>
      </c>
      <c r="L34" s="163"/>
      <c r="M34" s="54"/>
      <c r="N34" s="54"/>
      <c r="O34" t="s">
        <v>1245</v>
      </c>
      <c r="P34" s="54"/>
      <c r="Q34" s="54"/>
      <c r="R34">
        <v>0.73</v>
      </c>
      <c r="S34" s="54"/>
      <c r="T34" s="54"/>
      <c r="U34" s="54"/>
      <c r="V34" s="54"/>
      <c r="W34" s="54"/>
      <c r="X34" s="66">
        <f t="shared" si="0"/>
        <v>0.73</v>
      </c>
      <c r="Y34">
        <v>289</v>
      </c>
      <c r="Z34" s="192" t="str">
        <f t="shared" si="1"/>
        <v>S</v>
      </c>
      <c r="AB34" s="66"/>
      <c r="AC34" s="66"/>
      <c r="AD34" s="172"/>
      <c r="AE34" s="172"/>
      <c r="AF34" s="172"/>
      <c r="AG34" s="172"/>
      <c r="AH34" s="172"/>
      <c r="AI34" s="172"/>
      <c r="AJ34" s="172"/>
      <c r="AK34" s="172"/>
      <c r="AL34" s="172"/>
    </row>
    <row r="35" spans="1:38" s="45" customFormat="1">
      <c r="A35" s="53"/>
      <c r="B35" s="290" t="s">
        <v>1276</v>
      </c>
      <c r="C35" s="291">
        <v>1989</v>
      </c>
      <c r="D35" s="66"/>
      <c r="E35" s="60" t="s">
        <v>49</v>
      </c>
      <c r="F35" s="54"/>
      <c r="G35" s="54"/>
      <c r="H35" s="54"/>
      <c r="I35" s="54"/>
      <c r="J35" s="294" t="s">
        <v>1013</v>
      </c>
      <c r="K35" s="294" t="s">
        <v>1002</v>
      </c>
      <c r="L35" s="163"/>
      <c r="M35" s="54"/>
      <c r="N35" s="54"/>
      <c r="O35" t="s">
        <v>1246</v>
      </c>
      <c r="P35" s="54"/>
      <c r="Q35" s="54"/>
      <c r="R35">
        <v>0.72899999999999998</v>
      </c>
      <c r="S35" s="54"/>
      <c r="T35" s="54"/>
      <c r="U35" s="54"/>
      <c r="V35" s="54"/>
      <c r="W35" s="54"/>
      <c r="X35" s="66">
        <f t="shared" si="0"/>
        <v>0.72899999999999998</v>
      </c>
      <c r="Y35">
        <v>271</v>
      </c>
      <c r="Z35" s="192" t="str">
        <f t="shared" si="1"/>
        <v>S</v>
      </c>
      <c r="AB35" s="66"/>
      <c r="AC35" s="66"/>
      <c r="AD35" s="172"/>
      <c r="AE35" s="172"/>
      <c r="AF35" s="172"/>
      <c r="AG35" s="172"/>
      <c r="AH35" s="172"/>
      <c r="AI35" s="172"/>
      <c r="AJ35" s="172"/>
      <c r="AK35" s="172"/>
      <c r="AL35" s="172"/>
    </row>
    <row r="36" spans="1:38" s="45" customFormat="1">
      <c r="A36" s="53"/>
      <c r="B36" s="290" t="s">
        <v>1276</v>
      </c>
      <c r="C36" s="291">
        <v>1989</v>
      </c>
      <c r="D36" s="66"/>
      <c r="E36" s="60" t="s">
        <v>49</v>
      </c>
      <c r="F36" s="54"/>
      <c r="G36" s="54"/>
      <c r="H36" s="54"/>
      <c r="I36" s="54"/>
      <c r="J36" s="294" t="s">
        <v>1013</v>
      </c>
      <c r="K36" s="294" t="s">
        <v>1002</v>
      </c>
      <c r="L36" s="163"/>
      <c r="M36" s="54"/>
      <c r="N36" s="54"/>
      <c r="O36" t="s">
        <v>1239</v>
      </c>
      <c r="P36" s="54"/>
      <c r="Q36" s="54"/>
      <c r="R36">
        <v>0.64300000000000002</v>
      </c>
      <c r="S36" s="54"/>
      <c r="T36" s="54"/>
      <c r="U36" s="54"/>
      <c r="V36" s="54"/>
      <c r="W36" s="54"/>
      <c r="X36" s="66">
        <f t="shared" si="0"/>
        <v>0.64300000000000002</v>
      </c>
      <c r="Y36">
        <v>358</v>
      </c>
      <c r="Z36" s="192" t="str">
        <f t="shared" ref="Z36:Z67" si="2">IF(X36&lt;&gt;"",IF(X36&lt;0.9,"S","F"),"")</f>
        <v>S</v>
      </c>
      <c r="AA36" s="66"/>
      <c r="AB36" s="66"/>
      <c r="AC36" s="66"/>
      <c r="AD36" s="172"/>
      <c r="AE36" s="172"/>
      <c r="AF36" s="172"/>
      <c r="AG36" s="172"/>
      <c r="AH36" s="172"/>
      <c r="AI36" s="172"/>
      <c r="AJ36" s="172"/>
      <c r="AK36" s="172"/>
      <c r="AL36" s="172"/>
    </row>
    <row r="37" spans="1:38" s="118" customFormat="1">
      <c r="A37" s="97">
        <v>63</v>
      </c>
      <c r="B37" s="103" t="s">
        <v>168</v>
      </c>
      <c r="C37" s="103">
        <v>1989</v>
      </c>
      <c r="D37" s="103" t="s">
        <v>169</v>
      </c>
      <c r="E37" s="99" t="s">
        <v>172</v>
      </c>
      <c r="F37" s="127">
        <v>32022</v>
      </c>
      <c r="G37" s="98" t="s">
        <v>176</v>
      </c>
      <c r="H37" s="98" t="s">
        <v>95</v>
      </c>
      <c r="I37" s="98" t="s">
        <v>1014</v>
      </c>
      <c r="J37" s="101" t="s">
        <v>1013</v>
      </c>
      <c r="K37" s="98" t="s">
        <v>1042</v>
      </c>
      <c r="L37" s="98" t="s">
        <v>177</v>
      </c>
      <c r="M37" s="98"/>
      <c r="N37" s="98"/>
      <c r="O37" s="98" t="s">
        <v>178</v>
      </c>
      <c r="P37" s="98"/>
      <c r="Q37" s="98"/>
      <c r="R37" s="98"/>
      <c r="S37" s="98"/>
      <c r="T37" s="98"/>
      <c r="U37" s="98"/>
      <c r="V37" s="98"/>
      <c r="W37" s="98"/>
      <c r="X37" s="101" t="str">
        <f t="shared" si="0"/>
        <v/>
      </c>
      <c r="Y37" s="122">
        <v>106</v>
      </c>
      <c r="Z37" s="106" t="str">
        <f t="shared" si="2"/>
        <v/>
      </c>
      <c r="AA37" s="188"/>
      <c r="AB37" s="188" t="s">
        <v>1206</v>
      </c>
      <c r="AC37" s="188" t="s">
        <v>1207</v>
      </c>
      <c r="AD37" s="188" t="s">
        <v>1208</v>
      </c>
      <c r="AE37" s="188" t="s">
        <v>1209</v>
      </c>
      <c r="AF37" s="188" t="s">
        <v>1210</v>
      </c>
      <c r="AG37" s="188" t="s">
        <v>1211</v>
      </c>
      <c r="AH37" s="174"/>
      <c r="AI37" s="174"/>
      <c r="AJ37" s="174"/>
      <c r="AK37" s="174"/>
      <c r="AL37" s="174"/>
    </row>
    <row r="38" spans="1:38" s="118" customFormat="1">
      <c r="A38" s="97">
        <v>63</v>
      </c>
      <c r="B38" s="103" t="s">
        <v>168</v>
      </c>
      <c r="C38" s="103">
        <v>1989</v>
      </c>
      <c r="D38" s="103" t="s">
        <v>169</v>
      </c>
      <c r="E38" s="99" t="s">
        <v>172</v>
      </c>
      <c r="F38" s="98" t="s">
        <v>179</v>
      </c>
      <c r="G38" s="98" t="s">
        <v>153</v>
      </c>
      <c r="H38" s="98" t="s">
        <v>95</v>
      </c>
      <c r="I38" s="98" t="s">
        <v>1014</v>
      </c>
      <c r="J38" s="101" t="s">
        <v>1013</v>
      </c>
      <c r="K38" s="98" t="s">
        <v>1042</v>
      </c>
      <c r="L38" s="98" t="s">
        <v>180</v>
      </c>
      <c r="M38" s="98"/>
      <c r="N38" s="98"/>
      <c r="O38" s="98" t="s">
        <v>155</v>
      </c>
      <c r="P38" s="98"/>
      <c r="Q38" s="98"/>
      <c r="R38" s="98"/>
      <c r="S38" s="98"/>
      <c r="T38" s="98"/>
      <c r="U38" s="98"/>
      <c r="V38" s="98"/>
      <c r="W38" s="98"/>
      <c r="X38" s="101" t="str">
        <f t="shared" si="0"/>
        <v/>
      </c>
      <c r="Y38" s="122">
        <v>89</v>
      </c>
      <c r="Z38" s="106" t="str">
        <f t="shared" si="2"/>
        <v/>
      </c>
      <c r="AA38" s="243" t="s">
        <v>1316</v>
      </c>
      <c r="AB38" s="191">
        <f>AVERAGE($Y$39:$Y$43)</f>
        <v>48.4</v>
      </c>
      <c r="AC38" s="191">
        <f>MEDIAN($Y$39:$Y$43)</f>
        <v>40</v>
      </c>
      <c r="AD38" s="191">
        <f>MAX($Y$39:$Y$43)</f>
        <v>97</v>
      </c>
      <c r="AE38" s="191">
        <f>MIN($Y$39:$Y$43)</f>
        <v>19</v>
      </c>
      <c r="AF38" s="191">
        <f>STDEV($Y$39:$Y$43)</f>
        <v>33.215960019243767</v>
      </c>
      <c r="AG38" s="190">
        <f>COUNT($Y$39:$Y$43)</f>
        <v>5</v>
      </c>
      <c r="AH38" s="174"/>
      <c r="AI38" s="174"/>
      <c r="AJ38" s="174"/>
      <c r="AK38" s="174"/>
      <c r="AL38" s="174"/>
    </row>
    <row r="39" spans="1:38" s="118" customFormat="1">
      <c r="A39" s="97"/>
      <c r="B39" s="258" t="s">
        <v>1276</v>
      </c>
      <c r="C39" s="259">
        <v>1989</v>
      </c>
      <c r="D39" s="101"/>
      <c r="E39" s="103" t="s">
        <v>49</v>
      </c>
      <c r="F39" s="98"/>
      <c r="G39" s="98"/>
      <c r="H39" s="98"/>
      <c r="I39" s="98"/>
      <c r="J39" s="292" t="s">
        <v>1013</v>
      </c>
      <c r="K39" s="292" t="s">
        <v>1257</v>
      </c>
      <c r="L39" s="107"/>
      <c r="M39" s="107"/>
      <c r="N39" s="107"/>
      <c r="O39" s="107" t="s">
        <v>1268</v>
      </c>
      <c r="P39" s="107"/>
      <c r="Q39" s="107"/>
      <c r="R39" s="107">
        <v>0.95099999999999996</v>
      </c>
      <c r="S39" s="107"/>
      <c r="T39" s="107"/>
      <c r="U39" s="98"/>
      <c r="V39" s="98"/>
      <c r="W39" s="98"/>
      <c r="X39" s="101">
        <f t="shared" si="0"/>
        <v>0.95099999999999996</v>
      </c>
      <c r="Y39" s="107">
        <v>20</v>
      </c>
      <c r="Z39" s="106" t="str">
        <f t="shared" si="2"/>
        <v>F</v>
      </c>
      <c r="AA39" s="243" t="s">
        <v>1317</v>
      </c>
      <c r="AB39" s="191">
        <f>AVERAGE($Y$44:$Y$49)</f>
        <v>128.66666666666666</v>
      </c>
      <c r="AC39" s="191">
        <f>MEDIAN($Y$44:$Y$49)</f>
        <v>123</v>
      </c>
      <c r="AD39" s="191">
        <f>MAX($Y$44:$Y$49)</f>
        <v>161</v>
      </c>
      <c r="AE39" s="191">
        <f>MIN($Y$44:$Y$49)</f>
        <v>109</v>
      </c>
      <c r="AF39" s="191">
        <f>STDEV($Y$44:$Y$49)</f>
        <v>18.991226044325462</v>
      </c>
      <c r="AG39" s="190">
        <f>COUNT($Y$44:$Y$49)</f>
        <v>6</v>
      </c>
      <c r="AH39" s="174"/>
      <c r="AI39" s="174"/>
      <c r="AJ39" s="174"/>
      <c r="AK39" s="174"/>
      <c r="AL39" s="174"/>
    </row>
    <row r="40" spans="1:38" s="118" customFormat="1">
      <c r="A40" s="97"/>
      <c r="B40" s="258" t="s">
        <v>1276</v>
      </c>
      <c r="C40" s="259">
        <v>1989</v>
      </c>
      <c r="D40" s="101"/>
      <c r="E40" s="103" t="s">
        <v>49</v>
      </c>
      <c r="F40" s="98"/>
      <c r="G40" s="98"/>
      <c r="H40" s="98"/>
      <c r="I40" s="98"/>
      <c r="J40" s="302" t="s">
        <v>1013</v>
      </c>
      <c r="K40" s="302" t="s">
        <v>1257</v>
      </c>
      <c r="L40" s="303"/>
      <c r="M40" s="107"/>
      <c r="N40" s="107"/>
      <c r="O40" s="107" t="s">
        <v>1269</v>
      </c>
      <c r="P40" s="107"/>
      <c r="Q40" s="107"/>
      <c r="R40" s="107">
        <v>0.94699999999999995</v>
      </c>
      <c r="S40" s="107"/>
      <c r="T40" s="107"/>
      <c r="U40" s="98"/>
      <c r="V40" s="98"/>
      <c r="W40" s="98"/>
      <c r="X40" s="101">
        <f t="shared" si="0"/>
        <v>0.94699999999999995</v>
      </c>
      <c r="Y40" s="107">
        <v>19</v>
      </c>
      <c r="Z40" s="106" t="str">
        <f t="shared" si="2"/>
        <v>F</v>
      </c>
      <c r="AA40" s="101"/>
      <c r="AB40" s="101"/>
      <c r="AC40" s="101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1:38" s="118" customFormat="1">
      <c r="A41" s="97"/>
      <c r="B41" s="258" t="s">
        <v>1276</v>
      </c>
      <c r="C41" s="259">
        <v>1989</v>
      </c>
      <c r="D41" s="101"/>
      <c r="E41" s="103" t="s">
        <v>49</v>
      </c>
      <c r="F41" s="98"/>
      <c r="G41" s="98"/>
      <c r="H41" s="98"/>
      <c r="I41" s="98"/>
      <c r="J41" s="302" t="s">
        <v>1013</v>
      </c>
      <c r="K41" s="302" t="s">
        <v>1257</v>
      </c>
      <c r="L41" s="303"/>
      <c r="M41" s="107"/>
      <c r="N41" s="107"/>
      <c r="O41" s="107" t="s">
        <v>1267</v>
      </c>
      <c r="P41" s="107"/>
      <c r="Q41" s="107"/>
      <c r="R41" s="107">
        <v>0.92800000000000005</v>
      </c>
      <c r="S41" s="107"/>
      <c r="T41" s="107"/>
      <c r="U41" s="98"/>
      <c r="V41" s="98"/>
      <c r="W41" s="98"/>
      <c r="X41" s="101">
        <f t="shared" si="0"/>
        <v>0.92800000000000005</v>
      </c>
      <c r="Y41" s="107">
        <v>40</v>
      </c>
      <c r="Z41" s="106" t="str">
        <f t="shared" si="2"/>
        <v>F</v>
      </c>
      <c r="AA41" s="101"/>
      <c r="AB41" s="101"/>
      <c r="AC41" s="101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1:38" s="118" customFormat="1">
      <c r="A42" s="97">
        <v>173</v>
      </c>
      <c r="B42" s="98" t="s">
        <v>585</v>
      </c>
      <c r="C42" s="98">
        <v>2011</v>
      </c>
      <c r="D42" s="108" t="s">
        <v>636</v>
      </c>
      <c r="E42" s="99" t="s">
        <v>638</v>
      </c>
      <c r="F42" s="100" t="s">
        <v>656</v>
      </c>
      <c r="G42" s="98" t="s">
        <v>657</v>
      </c>
      <c r="H42" s="98" t="s">
        <v>146</v>
      </c>
      <c r="I42" s="98"/>
      <c r="J42" s="101" t="s">
        <v>1013</v>
      </c>
      <c r="K42" s="98" t="s">
        <v>1082</v>
      </c>
      <c r="L42" s="98" t="s">
        <v>658</v>
      </c>
      <c r="M42" s="109"/>
      <c r="N42" s="109"/>
      <c r="O42" s="98" t="s">
        <v>659</v>
      </c>
      <c r="P42" s="103"/>
      <c r="Q42" s="103"/>
      <c r="R42" s="98"/>
      <c r="S42" s="98"/>
      <c r="T42" s="98"/>
      <c r="U42" s="104">
        <v>0.91300000000000003</v>
      </c>
      <c r="V42" s="104"/>
      <c r="W42" s="104"/>
      <c r="X42" s="101">
        <f t="shared" si="0"/>
        <v>0.91300000000000003</v>
      </c>
      <c r="Y42" s="122">
        <v>97</v>
      </c>
      <c r="Z42" s="106" t="str">
        <f t="shared" si="2"/>
        <v>F</v>
      </c>
      <c r="AA42" s="101"/>
      <c r="AB42" s="101"/>
      <c r="AC42" s="101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1:38" s="118" customFormat="1">
      <c r="A43" s="97"/>
      <c r="B43" s="258" t="s">
        <v>1276</v>
      </c>
      <c r="C43" s="259">
        <v>1989</v>
      </c>
      <c r="D43" s="101"/>
      <c r="E43" s="103" t="s">
        <v>49</v>
      </c>
      <c r="F43" s="98"/>
      <c r="G43" s="98"/>
      <c r="H43" s="98"/>
      <c r="I43" s="98"/>
      <c r="J43" s="302" t="s">
        <v>1013</v>
      </c>
      <c r="K43" s="302" t="s">
        <v>1257</v>
      </c>
      <c r="L43" s="303"/>
      <c r="M43" s="107"/>
      <c r="N43" s="107"/>
      <c r="O43" s="107" t="s">
        <v>1274</v>
      </c>
      <c r="P43" s="107"/>
      <c r="Q43" s="107"/>
      <c r="R43" s="107">
        <v>0.9</v>
      </c>
      <c r="S43" s="107"/>
      <c r="T43" s="107"/>
      <c r="U43" s="98"/>
      <c r="V43" s="98"/>
      <c r="W43" s="98"/>
      <c r="X43" s="101">
        <f t="shared" si="0"/>
        <v>0.9</v>
      </c>
      <c r="Y43" s="107">
        <v>66</v>
      </c>
      <c r="Z43" s="106" t="str">
        <f t="shared" si="2"/>
        <v>F</v>
      </c>
      <c r="AA43" s="101"/>
      <c r="AB43" s="101"/>
      <c r="AC43" s="101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1:38" s="118" customFormat="1">
      <c r="A44" s="97">
        <v>173</v>
      </c>
      <c r="B44" s="98" t="s">
        <v>585</v>
      </c>
      <c r="C44" s="98">
        <v>2011</v>
      </c>
      <c r="D44" s="108" t="s">
        <v>636</v>
      </c>
      <c r="E44" s="99" t="s">
        <v>638</v>
      </c>
      <c r="F44" s="100" t="s">
        <v>656</v>
      </c>
      <c r="G44" s="98" t="s">
        <v>657</v>
      </c>
      <c r="H44" s="98" t="s">
        <v>146</v>
      </c>
      <c r="I44" s="98"/>
      <c r="J44" s="101" t="s">
        <v>1013</v>
      </c>
      <c r="K44" s="98" t="s">
        <v>1082</v>
      </c>
      <c r="L44" s="98" t="s">
        <v>660</v>
      </c>
      <c r="M44" s="109"/>
      <c r="N44" s="109"/>
      <c r="O44" s="98" t="s">
        <v>661</v>
      </c>
      <c r="P44" s="103"/>
      <c r="Q44" s="103"/>
      <c r="R44" s="98"/>
      <c r="S44" s="98"/>
      <c r="T44" s="98"/>
      <c r="U44" s="104">
        <v>0.88500000000000001</v>
      </c>
      <c r="V44" s="104"/>
      <c r="W44" s="104"/>
      <c r="X44" s="101">
        <f t="shared" si="0"/>
        <v>0.88500000000000001</v>
      </c>
      <c r="Y44" s="122">
        <v>126</v>
      </c>
      <c r="Z44" s="106" t="str">
        <f t="shared" si="2"/>
        <v>S</v>
      </c>
      <c r="AA44" s="101"/>
      <c r="AB44" s="101"/>
      <c r="AC44" s="101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1:38" s="118" customFormat="1">
      <c r="A45" s="97"/>
      <c r="B45" s="258" t="s">
        <v>1276</v>
      </c>
      <c r="C45" s="259">
        <v>1989</v>
      </c>
      <c r="D45" s="101"/>
      <c r="E45" s="103" t="s">
        <v>49</v>
      </c>
      <c r="F45" s="98"/>
      <c r="G45" s="98"/>
      <c r="H45" s="98"/>
      <c r="I45" s="98"/>
      <c r="J45" s="302" t="s">
        <v>1013</v>
      </c>
      <c r="K45" s="302" t="s">
        <v>1257</v>
      </c>
      <c r="L45" s="303"/>
      <c r="M45" s="107"/>
      <c r="N45" s="107"/>
      <c r="O45" s="107" t="s">
        <v>1271</v>
      </c>
      <c r="P45" s="107"/>
      <c r="Q45" s="107"/>
      <c r="R45" s="107">
        <v>0.85399999999999998</v>
      </c>
      <c r="S45" s="107"/>
      <c r="T45" s="107"/>
      <c r="U45" s="98"/>
      <c r="V45" s="98"/>
      <c r="W45" s="98"/>
      <c r="X45" s="101">
        <f t="shared" si="0"/>
        <v>0.85399999999999998</v>
      </c>
      <c r="Y45" s="107">
        <v>109</v>
      </c>
      <c r="Z45" s="106" t="str">
        <f t="shared" si="2"/>
        <v>S</v>
      </c>
      <c r="AH45" s="174"/>
      <c r="AI45" s="174"/>
      <c r="AJ45" s="174"/>
      <c r="AK45" s="174"/>
      <c r="AL45" s="174"/>
    </row>
    <row r="46" spans="1:38" s="118" customFormat="1">
      <c r="A46" s="97"/>
      <c r="B46" s="258" t="s">
        <v>1276</v>
      </c>
      <c r="C46" s="259">
        <v>1989</v>
      </c>
      <c r="D46" s="101"/>
      <c r="E46" s="103" t="s">
        <v>49</v>
      </c>
      <c r="F46" s="98"/>
      <c r="G46" s="98"/>
      <c r="H46" s="98"/>
      <c r="I46" s="98"/>
      <c r="J46" s="302" t="s">
        <v>1013</v>
      </c>
      <c r="K46" s="302" t="s">
        <v>1257</v>
      </c>
      <c r="L46" s="303"/>
      <c r="M46" s="107"/>
      <c r="N46" s="107"/>
      <c r="O46" s="107" t="s">
        <v>1275</v>
      </c>
      <c r="P46" s="107"/>
      <c r="Q46" s="107"/>
      <c r="R46" s="107">
        <v>0.84699999999999998</v>
      </c>
      <c r="S46" s="107"/>
      <c r="T46" s="107"/>
      <c r="U46" s="98"/>
      <c r="V46" s="98"/>
      <c r="W46" s="98"/>
      <c r="X46" s="101">
        <f t="shared" si="0"/>
        <v>0.84699999999999998</v>
      </c>
      <c r="Y46" s="107">
        <v>116</v>
      </c>
      <c r="Z46" s="106" t="str">
        <f t="shared" si="2"/>
        <v>S</v>
      </c>
      <c r="AH46" s="174"/>
      <c r="AI46" s="174"/>
      <c r="AJ46" s="174"/>
      <c r="AK46" s="174"/>
      <c r="AL46" s="174"/>
    </row>
    <row r="47" spans="1:38" s="118" customFormat="1">
      <c r="A47" s="97"/>
      <c r="B47" s="258" t="s">
        <v>1276</v>
      </c>
      <c r="C47" s="259">
        <v>1989</v>
      </c>
      <c r="D47" s="101"/>
      <c r="E47" s="103" t="s">
        <v>49</v>
      </c>
      <c r="F47" s="98"/>
      <c r="G47" s="98"/>
      <c r="H47" s="98"/>
      <c r="I47" s="98"/>
      <c r="J47" s="302" t="s">
        <v>1013</v>
      </c>
      <c r="K47" s="302" t="s">
        <v>1257</v>
      </c>
      <c r="L47" s="303"/>
      <c r="M47" s="107"/>
      <c r="N47" s="107"/>
      <c r="O47" s="107" t="s">
        <v>1273</v>
      </c>
      <c r="P47" s="107"/>
      <c r="Q47" s="107"/>
      <c r="R47" s="107">
        <v>0.84099999999999997</v>
      </c>
      <c r="S47" s="107"/>
      <c r="T47" s="107"/>
      <c r="U47" s="98"/>
      <c r="V47" s="98"/>
      <c r="W47" s="98"/>
      <c r="X47" s="101">
        <f t="shared" si="0"/>
        <v>0.84099999999999997</v>
      </c>
      <c r="Y47" s="107">
        <v>120</v>
      </c>
      <c r="Z47" s="106" t="str">
        <f t="shared" si="2"/>
        <v>S</v>
      </c>
      <c r="AH47" s="174"/>
      <c r="AI47" s="174"/>
      <c r="AJ47" s="174"/>
      <c r="AK47" s="174"/>
      <c r="AL47" s="174"/>
    </row>
    <row r="48" spans="1:38" s="107" customFormat="1">
      <c r="A48" s="97"/>
      <c r="B48" s="258" t="s">
        <v>1276</v>
      </c>
      <c r="C48" s="259">
        <v>1989</v>
      </c>
      <c r="D48" s="101"/>
      <c r="E48" s="103" t="s">
        <v>49</v>
      </c>
      <c r="F48" s="98"/>
      <c r="G48" s="98"/>
      <c r="H48" s="98"/>
      <c r="I48" s="98"/>
      <c r="J48" s="302" t="s">
        <v>1013</v>
      </c>
      <c r="K48" s="302" t="s">
        <v>1257</v>
      </c>
      <c r="L48" s="303"/>
      <c r="O48" s="107" t="s">
        <v>1272</v>
      </c>
      <c r="R48" s="107">
        <v>0.82199999999999995</v>
      </c>
      <c r="U48" s="98"/>
      <c r="V48" s="98"/>
      <c r="W48" s="98"/>
      <c r="X48" s="101">
        <f t="shared" si="0"/>
        <v>0.82199999999999995</v>
      </c>
      <c r="Y48" s="107">
        <v>140</v>
      </c>
      <c r="Z48" s="106" t="str">
        <f t="shared" si="2"/>
        <v>S</v>
      </c>
      <c r="AA48" s="101"/>
      <c r="AB48" s="101"/>
      <c r="AC48" s="101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1:38" s="107" customFormat="1">
      <c r="A49" s="97"/>
      <c r="B49" s="258" t="s">
        <v>1276</v>
      </c>
      <c r="C49" s="259">
        <v>1989</v>
      </c>
      <c r="D49" s="101"/>
      <c r="E49" s="103" t="s">
        <v>49</v>
      </c>
      <c r="F49" s="98"/>
      <c r="G49" s="98"/>
      <c r="H49" s="98"/>
      <c r="I49" s="98"/>
      <c r="J49" s="302" t="s">
        <v>1013</v>
      </c>
      <c r="K49" s="302" t="s">
        <v>1257</v>
      </c>
      <c r="L49" s="303"/>
      <c r="O49" s="107" t="s">
        <v>1270</v>
      </c>
      <c r="R49" s="107">
        <v>0.79600000000000004</v>
      </c>
      <c r="U49" s="98"/>
      <c r="V49" s="98"/>
      <c r="W49" s="98"/>
      <c r="X49" s="101">
        <f t="shared" si="0"/>
        <v>0.79600000000000004</v>
      </c>
      <c r="Y49" s="107">
        <v>161</v>
      </c>
      <c r="Z49" s="106" t="str">
        <f t="shared" si="2"/>
        <v>S</v>
      </c>
      <c r="AA49" s="101"/>
      <c r="AB49" s="101"/>
      <c r="AC49" s="101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1:38" s="45" customFormat="1">
      <c r="A50" s="53">
        <v>203</v>
      </c>
      <c r="B50" s="73" t="s">
        <v>940</v>
      </c>
      <c r="C50" s="54">
        <v>2011</v>
      </c>
      <c r="D50" s="73" t="s">
        <v>941</v>
      </c>
      <c r="E50" s="56" t="s">
        <v>20</v>
      </c>
      <c r="F50" s="54">
        <v>2009</v>
      </c>
      <c r="G50" s="54" t="s">
        <v>326</v>
      </c>
      <c r="H50" s="54"/>
      <c r="I50" s="54"/>
      <c r="J50" s="66" t="s">
        <v>1013</v>
      </c>
      <c r="K50" s="54" t="s">
        <v>1091</v>
      </c>
      <c r="L50" s="54" t="s">
        <v>725</v>
      </c>
      <c r="M50" s="54"/>
      <c r="N50" s="54"/>
      <c r="O50" s="54">
        <v>38</v>
      </c>
      <c r="P50" s="54"/>
      <c r="Q50" s="54"/>
      <c r="R50" s="54"/>
      <c r="S50" s="54"/>
      <c r="T50" s="54"/>
      <c r="U50" s="54">
        <v>0.93</v>
      </c>
      <c r="V50" s="54"/>
      <c r="W50" s="54"/>
      <c r="X50" s="66">
        <f t="shared" si="0"/>
        <v>0.93</v>
      </c>
      <c r="Y50" s="71">
        <v>82.9</v>
      </c>
      <c r="Z50" s="192" t="str">
        <f t="shared" si="2"/>
        <v>F</v>
      </c>
      <c r="AA50" s="196"/>
      <c r="AB50" s="152" t="s">
        <v>1206</v>
      </c>
      <c r="AC50" s="152" t="s">
        <v>1207</v>
      </c>
      <c r="AD50" s="152" t="s">
        <v>1208</v>
      </c>
      <c r="AE50" s="152" t="s">
        <v>1209</v>
      </c>
      <c r="AF50" s="152" t="s">
        <v>1210</v>
      </c>
      <c r="AG50" s="152" t="s">
        <v>1211</v>
      </c>
      <c r="AH50" s="172"/>
      <c r="AI50" s="172"/>
      <c r="AJ50" s="172"/>
      <c r="AK50" s="172"/>
      <c r="AL50" s="172"/>
    </row>
    <row r="51" spans="1:38" s="45" customFormat="1">
      <c r="A51" s="66"/>
      <c r="B51" s="73" t="s">
        <v>766</v>
      </c>
      <c r="C51" s="54">
        <v>2013</v>
      </c>
      <c r="D51" s="66"/>
      <c r="E51" s="56" t="s">
        <v>172</v>
      </c>
      <c r="F51" s="54">
        <v>2011</v>
      </c>
      <c r="G51" s="54" t="s">
        <v>631</v>
      </c>
      <c r="H51" s="66" t="s">
        <v>159</v>
      </c>
      <c r="I51" s="66" t="s">
        <v>1014</v>
      </c>
      <c r="J51" s="74" t="s">
        <v>1013</v>
      </c>
      <c r="K51" s="54" t="s">
        <v>1091</v>
      </c>
      <c r="L51" s="54" t="s">
        <v>974</v>
      </c>
      <c r="M51" s="66"/>
      <c r="N51" s="66"/>
      <c r="O51" s="66" t="s">
        <v>972</v>
      </c>
      <c r="P51" s="66"/>
      <c r="Q51" s="66"/>
      <c r="R51" s="66"/>
      <c r="S51" s="66"/>
      <c r="T51" s="66"/>
      <c r="U51" s="54">
        <v>0.92300000000000004</v>
      </c>
      <c r="V51" s="66"/>
      <c r="W51" s="66"/>
      <c r="X51" s="66">
        <f t="shared" si="0"/>
        <v>0.92300000000000004</v>
      </c>
      <c r="Y51" s="71">
        <v>89.3</v>
      </c>
      <c r="Z51" s="192" t="str">
        <f t="shared" si="2"/>
        <v>F</v>
      </c>
      <c r="AA51" s="305" t="s">
        <v>1319</v>
      </c>
      <c r="AB51" s="197">
        <f>AVERAGE($Y$50:$Y$65)</f>
        <v>104.8</v>
      </c>
      <c r="AC51" s="197">
        <f>MEDIAN($Y$50:$Y$65)</f>
        <v>112.69999999999999</v>
      </c>
      <c r="AD51" s="197">
        <f>MAX($Y$50:$Y$65)</f>
        <v>115.3</v>
      </c>
      <c r="AE51" s="197">
        <f>MIN($Y$50:$Y$65)</f>
        <v>82.9</v>
      </c>
      <c r="AF51" s="197">
        <f>STDEV($Y$50:$Y$65)</f>
        <v>12.190050587808679</v>
      </c>
      <c r="AG51" s="198">
        <f>COUNT($Y$50:$Y$65)</f>
        <v>16</v>
      </c>
      <c r="AH51" s="172"/>
      <c r="AI51" s="172"/>
      <c r="AJ51" s="172"/>
      <c r="AK51" s="172"/>
      <c r="AL51" s="172"/>
    </row>
    <row r="52" spans="1:38" s="45" customFormat="1">
      <c r="A52" s="53">
        <v>174</v>
      </c>
      <c r="B52" s="54" t="s">
        <v>697</v>
      </c>
      <c r="C52" s="54">
        <v>2009</v>
      </c>
      <c r="D52" s="78" t="s">
        <v>698</v>
      </c>
      <c r="E52" s="56" t="s">
        <v>20</v>
      </c>
      <c r="F52" s="57" t="s">
        <v>701</v>
      </c>
      <c r="G52" s="54" t="s">
        <v>705</v>
      </c>
      <c r="H52" s="54" t="s">
        <v>159</v>
      </c>
      <c r="I52" s="54"/>
      <c r="J52" s="66" t="s">
        <v>1013</v>
      </c>
      <c r="K52" s="54" t="s">
        <v>1091</v>
      </c>
      <c r="L52" s="54" t="s">
        <v>725</v>
      </c>
      <c r="M52" s="59"/>
      <c r="N52" s="59"/>
      <c r="O52" s="54" t="s">
        <v>725</v>
      </c>
      <c r="P52" s="60"/>
      <c r="Q52" s="60"/>
      <c r="R52" s="54"/>
      <c r="S52" s="54"/>
      <c r="T52" s="54"/>
      <c r="U52" s="61">
        <v>0.92</v>
      </c>
      <c r="V52" s="61"/>
      <c r="W52" s="61"/>
      <c r="X52" s="66">
        <f t="shared" si="0"/>
        <v>0.92</v>
      </c>
      <c r="Y52" s="71">
        <v>84.6</v>
      </c>
      <c r="Z52" s="192" t="str">
        <f t="shared" si="2"/>
        <v>F</v>
      </c>
      <c r="AA52" s="305" t="s">
        <v>1320</v>
      </c>
      <c r="AB52" s="197">
        <f>AVERAGE($Y$66:$Y$107)</f>
        <v>139.33809523809524</v>
      </c>
      <c r="AC52" s="197">
        <f>MEDIAN($Y$66:$Y$107)</f>
        <v>140.1</v>
      </c>
      <c r="AD52" s="197">
        <f>MAX($Y$66:$Y$107)</f>
        <v>178.7</v>
      </c>
      <c r="AE52" s="197">
        <f>MIN($Y$66:$Y$107)</f>
        <v>117.2</v>
      </c>
      <c r="AF52" s="197">
        <f>STDEV($Y$66:$Y$107)</f>
        <v>14.697535090851407</v>
      </c>
      <c r="AG52" s="198">
        <f>COUNT($Y$66:$Y$107)</f>
        <v>42</v>
      </c>
      <c r="AH52" s="172"/>
      <c r="AI52" s="172"/>
      <c r="AJ52" s="172"/>
      <c r="AK52" s="172"/>
      <c r="AL52" s="172"/>
    </row>
    <row r="53" spans="1:38" s="45" customFormat="1">
      <c r="A53" s="66"/>
      <c r="B53" s="73" t="s">
        <v>766</v>
      </c>
      <c r="C53" s="54">
        <v>2013</v>
      </c>
      <c r="D53" s="66"/>
      <c r="E53" s="56" t="s">
        <v>172</v>
      </c>
      <c r="F53" s="54">
        <v>2011</v>
      </c>
      <c r="G53" s="54" t="s">
        <v>631</v>
      </c>
      <c r="H53" s="66" t="s">
        <v>159</v>
      </c>
      <c r="I53" s="66" t="s">
        <v>1014</v>
      </c>
      <c r="J53" s="74" t="s">
        <v>1013</v>
      </c>
      <c r="K53" s="54" t="s">
        <v>1091</v>
      </c>
      <c r="L53" s="54" t="s">
        <v>978</v>
      </c>
      <c r="M53" s="66"/>
      <c r="N53" s="66"/>
      <c r="O53" s="66" t="s">
        <v>977</v>
      </c>
      <c r="P53" s="66"/>
      <c r="Q53" s="66"/>
      <c r="R53" s="66"/>
      <c r="S53" s="66"/>
      <c r="T53" s="66"/>
      <c r="U53" s="54">
        <v>0.91800000000000004</v>
      </c>
      <c r="V53" s="66"/>
      <c r="W53" s="66"/>
      <c r="X53" s="66">
        <f t="shared" si="0"/>
        <v>0.91800000000000004</v>
      </c>
      <c r="Y53" s="71">
        <v>94.9</v>
      </c>
      <c r="Z53" s="192" t="str">
        <f t="shared" si="2"/>
        <v>F</v>
      </c>
      <c r="AA53" s="66"/>
      <c r="AB53" s="66"/>
      <c r="AC53" s="66"/>
      <c r="AD53" s="172"/>
      <c r="AE53" s="172"/>
      <c r="AF53" s="172"/>
      <c r="AG53" s="172"/>
      <c r="AH53" s="172"/>
      <c r="AI53" s="172"/>
      <c r="AJ53" s="172"/>
      <c r="AK53" s="172"/>
      <c r="AL53" s="172"/>
    </row>
    <row r="54" spans="1:38" s="45" customFormat="1">
      <c r="A54" s="66"/>
      <c r="B54" s="73" t="s">
        <v>766</v>
      </c>
      <c r="C54" s="54">
        <v>2013</v>
      </c>
      <c r="D54" s="66"/>
      <c r="E54" s="56" t="s">
        <v>172</v>
      </c>
      <c r="F54" s="54">
        <v>2011</v>
      </c>
      <c r="G54" s="54" t="s">
        <v>631</v>
      </c>
      <c r="H54" s="66" t="s">
        <v>159</v>
      </c>
      <c r="I54" s="66" t="s">
        <v>1014</v>
      </c>
      <c r="J54" s="74" t="s">
        <v>1013</v>
      </c>
      <c r="K54" s="54" t="s">
        <v>1091</v>
      </c>
      <c r="L54" s="54" t="s">
        <v>975</v>
      </c>
      <c r="M54" s="66"/>
      <c r="N54" s="66"/>
      <c r="O54" s="66" t="s">
        <v>976</v>
      </c>
      <c r="P54" s="66"/>
      <c r="Q54" s="66"/>
      <c r="R54" s="66"/>
      <c r="S54" s="66"/>
      <c r="T54" s="66"/>
      <c r="U54" s="54">
        <v>0.91600000000000004</v>
      </c>
      <c r="V54" s="66"/>
      <c r="W54" s="66"/>
      <c r="X54" s="66">
        <f t="shared" si="0"/>
        <v>0.91600000000000004</v>
      </c>
      <c r="Y54" s="71">
        <v>97.4</v>
      </c>
      <c r="Z54" s="192" t="str">
        <f t="shared" si="2"/>
        <v>F</v>
      </c>
      <c r="AA54" s="66"/>
      <c r="AB54" s="66"/>
      <c r="AC54" s="66"/>
      <c r="AD54" s="172"/>
      <c r="AE54" s="172"/>
      <c r="AF54" s="172"/>
      <c r="AG54" s="172"/>
      <c r="AH54" s="172"/>
      <c r="AI54" s="172"/>
      <c r="AJ54" s="172"/>
      <c r="AK54" s="172"/>
      <c r="AL54" s="172"/>
    </row>
    <row r="55" spans="1:38" s="45" customFormat="1">
      <c r="A55" s="53">
        <v>174</v>
      </c>
      <c r="B55" s="54" t="s">
        <v>697</v>
      </c>
      <c r="C55" s="54">
        <v>2009</v>
      </c>
      <c r="D55" s="78" t="s">
        <v>698</v>
      </c>
      <c r="E55" s="56" t="s">
        <v>20</v>
      </c>
      <c r="F55" s="57" t="s">
        <v>701</v>
      </c>
      <c r="G55" s="54" t="s">
        <v>705</v>
      </c>
      <c r="H55" s="54" t="s">
        <v>159</v>
      </c>
      <c r="I55" s="54"/>
      <c r="J55" s="66" t="s">
        <v>1013</v>
      </c>
      <c r="K55" s="54" t="s">
        <v>1091</v>
      </c>
      <c r="L55" s="54" t="s">
        <v>712</v>
      </c>
      <c r="M55" s="59"/>
      <c r="N55" s="59"/>
      <c r="O55" s="54" t="s">
        <v>713</v>
      </c>
      <c r="P55" s="60"/>
      <c r="Q55" s="60"/>
      <c r="R55" s="54"/>
      <c r="S55" s="54"/>
      <c r="T55" s="54"/>
      <c r="U55" s="61">
        <v>0.91500000000000004</v>
      </c>
      <c r="V55" s="61"/>
      <c r="W55" s="61"/>
      <c r="X55" s="66">
        <f t="shared" si="0"/>
        <v>0.91500000000000004</v>
      </c>
      <c r="Y55" s="71">
        <v>92</v>
      </c>
      <c r="Z55" s="192" t="str">
        <f t="shared" si="2"/>
        <v>F</v>
      </c>
      <c r="AA55" s="66"/>
      <c r="AB55" s="66"/>
      <c r="AC55" s="66"/>
      <c r="AD55" s="172"/>
      <c r="AE55" s="172"/>
      <c r="AF55" s="172"/>
      <c r="AG55" s="172"/>
      <c r="AH55" s="172"/>
      <c r="AI55" s="172"/>
      <c r="AJ55" s="172"/>
      <c r="AK55" s="172"/>
      <c r="AL55" s="172"/>
    </row>
    <row r="56" spans="1:38" s="45" customFormat="1">
      <c r="A56" s="66"/>
      <c r="B56" s="73" t="s">
        <v>766</v>
      </c>
      <c r="C56" s="54">
        <v>2013</v>
      </c>
      <c r="D56" s="66"/>
      <c r="E56" s="56" t="s">
        <v>172</v>
      </c>
      <c r="F56" s="54">
        <v>2011</v>
      </c>
      <c r="G56" s="54" t="s">
        <v>631</v>
      </c>
      <c r="H56" s="66" t="s">
        <v>159</v>
      </c>
      <c r="I56" s="66" t="s">
        <v>1014</v>
      </c>
      <c r="J56" s="74" t="s">
        <v>1013</v>
      </c>
      <c r="K56" s="54" t="s">
        <v>1091</v>
      </c>
      <c r="L56" s="54" t="s">
        <v>975</v>
      </c>
      <c r="M56" s="66"/>
      <c r="N56" s="66"/>
      <c r="O56" s="66" t="s">
        <v>976</v>
      </c>
      <c r="P56" s="66"/>
      <c r="Q56" s="66"/>
      <c r="R56" s="66"/>
      <c r="S56" s="66"/>
      <c r="T56" s="66"/>
      <c r="U56" s="54">
        <v>0.90400000000000003</v>
      </c>
      <c r="V56" s="66"/>
      <c r="W56" s="66"/>
      <c r="X56" s="66">
        <f t="shared" si="0"/>
        <v>0.90400000000000003</v>
      </c>
      <c r="Y56" s="71">
        <v>110.9</v>
      </c>
      <c r="Z56" s="192" t="str">
        <f t="shared" si="2"/>
        <v>F</v>
      </c>
      <c r="AA56" s="66"/>
      <c r="AB56" s="66"/>
      <c r="AC56" s="66"/>
      <c r="AD56" s="172"/>
      <c r="AE56" s="172"/>
      <c r="AF56" s="172"/>
      <c r="AG56" s="172"/>
      <c r="AH56" s="172"/>
      <c r="AI56" s="172"/>
      <c r="AJ56" s="172"/>
      <c r="AK56" s="172"/>
      <c r="AL56" s="172"/>
    </row>
    <row r="57" spans="1:38" s="45" customFormat="1">
      <c r="A57" s="66"/>
      <c r="B57" s="73" t="s">
        <v>766</v>
      </c>
      <c r="C57" s="54">
        <v>2013</v>
      </c>
      <c r="D57" s="66"/>
      <c r="E57" s="56" t="s">
        <v>172</v>
      </c>
      <c r="F57" s="54">
        <v>2011</v>
      </c>
      <c r="G57" s="54" t="s">
        <v>631</v>
      </c>
      <c r="H57" s="66" t="s">
        <v>159</v>
      </c>
      <c r="I57" s="66" t="s">
        <v>1014</v>
      </c>
      <c r="J57" s="74" t="s">
        <v>1013</v>
      </c>
      <c r="K57" s="54" t="s">
        <v>1091</v>
      </c>
      <c r="L57" s="54" t="s">
        <v>975</v>
      </c>
      <c r="M57" s="66"/>
      <c r="N57" s="66"/>
      <c r="O57" s="66" t="s">
        <v>976</v>
      </c>
      <c r="P57" s="66"/>
      <c r="Q57" s="66"/>
      <c r="R57" s="66"/>
      <c r="S57" s="66"/>
      <c r="T57" s="66"/>
      <c r="U57" s="54">
        <v>0.90300000000000002</v>
      </c>
      <c r="V57" s="66"/>
      <c r="W57" s="66"/>
      <c r="X57" s="66">
        <f t="shared" si="0"/>
        <v>0.90300000000000002</v>
      </c>
      <c r="Y57" s="71">
        <v>112.8</v>
      </c>
      <c r="Z57" s="192" t="str">
        <f t="shared" si="2"/>
        <v>F</v>
      </c>
      <c r="AA57" s="66"/>
      <c r="AB57" s="66"/>
      <c r="AC57" s="66"/>
      <c r="AD57" s="172"/>
      <c r="AE57" s="172"/>
      <c r="AF57" s="172"/>
      <c r="AG57" s="172"/>
      <c r="AH57" s="172"/>
      <c r="AI57" s="172"/>
      <c r="AJ57" s="172"/>
      <c r="AK57" s="172"/>
      <c r="AL57" s="172"/>
    </row>
    <row r="58" spans="1:38" s="45" customFormat="1">
      <c r="A58" s="66"/>
      <c r="B58" s="73" t="s">
        <v>766</v>
      </c>
      <c r="C58" s="54">
        <v>2013</v>
      </c>
      <c r="D58" s="66"/>
      <c r="E58" s="56" t="s">
        <v>172</v>
      </c>
      <c r="F58" s="54">
        <v>2011</v>
      </c>
      <c r="G58" s="54" t="s">
        <v>631</v>
      </c>
      <c r="H58" s="66" t="s">
        <v>159</v>
      </c>
      <c r="I58" s="66" t="s">
        <v>1014</v>
      </c>
      <c r="J58" s="74" t="s">
        <v>1013</v>
      </c>
      <c r="K58" s="54" t="s">
        <v>1091</v>
      </c>
      <c r="L58" s="54" t="s">
        <v>974</v>
      </c>
      <c r="M58" s="66"/>
      <c r="N58" s="66"/>
      <c r="O58" s="66" t="s">
        <v>972</v>
      </c>
      <c r="P58" s="66"/>
      <c r="Q58" s="66"/>
      <c r="R58" s="66"/>
      <c r="S58" s="66"/>
      <c r="T58" s="66"/>
      <c r="U58" s="54">
        <v>0.90300000000000002</v>
      </c>
      <c r="V58" s="66"/>
      <c r="W58" s="66"/>
      <c r="X58" s="66">
        <f t="shared" si="0"/>
        <v>0.90300000000000002</v>
      </c>
      <c r="Y58" s="71">
        <v>112.6</v>
      </c>
      <c r="Z58" s="192" t="str">
        <f t="shared" si="2"/>
        <v>F</v>
      </c>
      <c r="AA58" s="66"/>
      <c r="AB58" s="66"/>
      <c r="AC58" s="66"/>
      <c r="AD58" s="172"/>
      <c r="AE58" s="172"/>
      <c r="AF58" s="172"/>
      <c r="AG58" s="172"/>
      <c r="AH58" s="172"/>
      <c r="AI58" s="172"/>
      <c r="AJ58" s="172"/>
      <c r="AK58" s="172"/>
      <c r="AL58" s="172"/>
    </row>
    <row r="59" spans="1:38" s="45" customFormat="1">
      <c r="A59" s="66"/>
      <c r="B59" s="73" t="s">
        <v>766</v>
      </c>
      <c r="C59" s="54">
        <v>2013</v>
      </c>
      <c r="D59" s="66"/>
      <c r="E59" s="56" t="s">
        <v>172</v>
      </c>
      <c r="F59" s="54">
        <v>2011</v>
      </c>
      <c r="G59" s="54" t="s">
        <v>631</v>
      </c>
      <c r="H59" s="66" t="s">
        <v>159</v>
      </c>
      <c r="I59" s="66" t="s">
        <v>1014</v>
      </c>
      <c r="J59" s="74" t="s">
        <v>1013</v>
      </c>
      <c r="K59" s="54" t="s">
        <v>1091</v>
      </c>
      <c r="L59" s="54" t="s">
        <v>978</v>
      </c>
      <c r="M59" s="66"/>
      <c r="N59" s="66"/>
      <c r="O59" s="66" t="s">
        <v>977</v>
      </c>
      <c r="P59" s="66"/>
      <c r="Q59" s="66"/>
      <c r="R59" s="66"/>
      <c r="S59" s="66"/>
      <c r="T59" s="66"/>
      <c r="U59" s="54">
        <v>0.90200000000000002</v>
      </c>
      <c r="V59" s="66"/>
      <c r="W59" s="66"/>
      <c r="X59" s="66">
        <f t="shared" si="0"/>
        <v>0.90200000000000002</v>
      </c>
      <c r="Y59" s="71">
        <v>113.7</v>
      </c>
      <c r="Z59" s="192" t="str">
        <f t="shared" si="2"/>
        <v>F</v>
      </c>
      <c r="AA59" s="66"/>
      <c r="AB59" s="66"/>
      <c r="AC59" s="66"/>
      <c r="AD59" s="172"/>
      <c r="AE59" s="172"/>
      <c r="AF59" s="172"/>
      <c r="AG59" s="172"/>
      <c r="AH59" s="172"/>
      <c r="AI59" s="172"/>
      <c r="AJ59" s="172"/>
      <c r="AK59" s="172"/>
      <c r="AL59" s="172"/>
    </row>
    <row r="60" spans="1:38" s="45" customFormat="1">
      <c r="A60" s="66"/>
      <c r="B60" s="73" t="s">
        <v>766</v>
      </c>
      <c r="C60" s="54">
        <v>2013</v>
      </c>
      <c r="D60" s="66"/>
      <c r="E60" s="56" t="s">
        <v>172</v>
      </c>
      <c r="F60" s="54">
        <v>2011</v>
      </c>
      <c r="G60" s="54" t="s">
        <v>631</v>
      </c>
      <c r="H60" s="66" t="s">
        <v>159</v>
      </c>
      <c r="I60" s="66" t="s">
        <v>1014</v>
      </c>
      <c r="J60" s="74" t="s">
        <v>1013</v>
      </c>
      <c r="K60" s="54" t="s">
        <v>1091</v>
      </c>
      <c r="L60" s="54" t="s">
        <v>975</v>
      </c>
      <c r="M60" s="66"/>
      <c r="N60" s="66"/>
      <c r="O60" s="66" t="s">
        <v>976</v>
      </c>
      <c r="P60" s="66"/>
      <c r="Q60" s="66"/>
      <c r="R60" s="66"/>
      <c r="S60" s="66"/>
      <c r="T60" s="66"/>
      <c r="U60" s="54">
        <v>0.90200000000000002</v>
      </c>
      <c r="V60" s="66"/>
      <c r="W60" s="66"/>
      <c r="X60" s="66">
        <f t="shared" si="0"/>
        <v>0.90200000000000002</v>
      </c>
      <c r="Y60" s="71">
        <v>113.6</v>
      </c>
      <c r="Z60" s="192" t="str">
        <f t="shared" si="2"/>
        <v>F</v>
      </c>
      <c r="AA60" s="66"/>
      <c r="AB60" s="66"/>
      <c r="AC60" s="66"/>
      <c r="AD60" s="172"/>
      <c r="AE60" s="172"/>
      <c r="AF60" s="172"/>
      <c r="AG60" s="172"/>
      <c r="AH60" s="172"/>
      <c r="AI60" s="172"/>
      <c r="AJ60" s="172"/>
      <c r="AK60" s="172"/>
      <c r="AL60" s="172"/>
    </row>
    <row r="61" spans="1:38" s="45" customFormat="1">
      <c r="A61" s="66"/>
      <c r="B61" s="73" t="s">
        <v>766</v>
      </c>
      <c r="C61" s="54">
        <v>2013</v>
      </c>
      <c r="D61" s="66"/>
      <c r="E61" s="56" t="s">
        <v>172</v>
      </c>
      <c r="F61" s="54">
        <v>2011</v>
      </c>
      <c r="G61" s="54" t="s">
        <v>631</v>
      </c>
      <c r="H61" s="66" t="s">
        <v>159</v>
      </c>
      <c r="I61" s="66" t="s">
        <v>1014</v>
      </c>
      <c r="J61" s="74" t="s">
        <v>1013</v>
      </c>
      <c r="K61" s="54" t="s">
        <v>1091</v>
      </c>
      <c r="L61" s="54" t="s">
        <v>974</v>
      </c>
      <c r="M61" s="66"/>
      <c r="N61" s="66"/>
      <c r="O61" s="66" t="s">
        <v>972</v>
      </c>
      <c r="P61" s="66"/>
      <c r="Q61" s="66"/>
      <c r="R61" s="66"/>
      <c r="S61" s="66"/>
      <c r="T61" s="66"/>
      <c r="U61" s="54">
        <v>0.90100000000000002</v>
      </c>
      <c r="V61" s="66"/>
      <c r="W61" s="66"/>
      <c r="X61" s="66">
        <f t="shared" si="0"/>
        <v>0.90100000000000002</v>
      </c>
      <c r="Y61" s="71">
        <v>114.9</v>
      </c>
      <c r="Z61" s="192" t="str">
        <f t="shared" si="2"/>
        <v>F</v>
      </c>
      <c r="AA61" s="66"/>
      <c r="AB61" s="66"/>
      <c r="AC61" s="66"/>
      <c r="AD61" s="172"/>
      <c r="AE61" s="172"/>
      <c r="AF61" s="172"/>
      <c r="AG61" s="172"/>
      <c r="AH61" s="172"/>
      <c r="AI61" s="172"/>
      <c r="AJ61" s="172"/>
      <c r="AK61" s="172"/>
      <c r="AL61" s="172"/>
    </row>
    <row r="62" spans="1:38" s="45" customFormat="1">
      <c r="A62" s="66"/>
      <c r="B62" s="73" t="s">
        <v>766</v>
      </c>
      <c r="C62" s="54">
        <v>2013</v>
      </c>
      <c r="D62" s="66"/>
      <c r="E62" s="56" t="s">
        <v>172</v>
      </c>
      <c r="F62" s="54">
        <v>2011</v>
      </c>
      <c r="G62" s="54" t="s">
        <v>631</v>
      </c>
      <c r="H62" s="66" t="s">
        <v>159</v>
      </c>
      <c r="I62" s="66" t="s">
        <v>1014</v>
      </c>
      <c r="J62" s="74" t="s">
        <v>1013</v>
      </c>
      <c r="K62" s="54" t="s">
        <v>1091</v>
      </c>
      <c r="L62" s="54" t="s">
        <v>975</v>
      </c>
      <c r="M62" s="66"/>
      <c r="N62" s="66"/>
      <c r="O62" s="66" t="s">
        <v>976</v>
      </c>
      <c r="P62" s="66"/>
      <c r="Q62" s="66"/>
      <c r="R62" s="66"/>
      <c r="S62" s="66"/>
      <c r="T62" s="66"/>
      <c r="U62" s="54">
        <v>0.90100000000000002</v>
      </c>
      <c r="V62" s="66"/>
      <c r="W62" s="66"/>
      <c r="X62" s="66">
        <f t="shared" si="0"/>
        <v>0.90100000000000002</v>
      </c>
      <c r="Y62" s="71">
        <v>114.5</v>
      </c>
      <c r="Z62" s="192" t="str">
        <f t="shared" si="2"/>
        <v>F</v>
      </c>
      <c r="AA62" s="66"/>
      <c r="AB62" s="66"/>
      <c r="AC62" s="66"/>
      <c r="AD62" s="172"/>
      <c r="AE62" s="172"/>
      <c r="AF62" s="172"/>
      <c r="AG62" s="172"/>
      <c r="AH62" s="172"/>
      <c r="AI62" s="172"/>
      <c r="AJ62" s="172"/>
      <c r="AK62" s="172"/>
      <c r="AL62" s="172"/>
    </row>
    <row r="63" spans="1:38" s="45" customFormat="1">
      <c r="A63" s="66"/>
      <c r="B63" s="73" t="s">
        <v>766</v>
      </c>
      <c r="C63" s="54">
        <v>2013</v>
      </c>
      <c r="D63" s="66"/>
      <c r="E63" s="56" t="s">
        <v>172</v>
      </c>
      <c r="F63" s="54">
        <v>2011</v>
      </c>
      <c r="G63" s="54" t="s">
        <v>631</v>
      </c>
      <c r="H63" s="66" t="s">
        <v>159</v>
      </c>
      <c r="I63" s="66" t="s">
        <v>1014</v>
      </c>
      <c r="J63" s="74" t="s">
        <v>1013</v>
      </c>
      <c r="K63" s="54" t="s">
        <v>1091</v>
      </c>
      <c r="L63" s="54" t="s">
        <v>974</v>
      </c>
      <c r="M63" s="66"/>
      <c r="N63" s="66"/>
      <c r="O63" s="66" t="s">
        <v>972</v>
      </c>
      <c r="P63" s="66"/>
      <c r="Q63" s="66"/>
      <c r="R63" s="66"/>
      <c r="S63" s="66"/>
      <c r="T63" s="66"/>
      <c r="U63" s="54">
        <v>0.90100000000000002</v>
      </c>
      <c r="V63" s="66"/>
      <c r="W63" s="66"/>
      <c r="X63" s="66">
        <f t="shared" si="0"/>
        <v>0.90100000000000002</v>
      </c>
      <c r="Y63" s="71">
        <v>114.4</v>
      </c>
      <c r="Z63" s="192" t="str">
        <f t="shared" si="2"/>
        <v>F</v>
      </c>
      <c r="AA63" s="66"/>
      <c r="AB63" s="66"/>
      <c r="AC63" s="66"/>
      <c r="AD63" s="172"/>
      <c r="AE63" s="172"/>
      <c r="AF63" s="172"/>
      <c r="AG63" s="172"/>
      <c r="AH63" s="172"/>
      <c r="AI63" s="172"/>
      <c r="AJ63" s="172"/>
      <c r="AK63" s="172"/>
      <c r="AL63" s="172"/>
    </row>
    <row r="64" spans="1:38" s="45" customFormat="1">
      <c r="A64" s="53">
        <v>203</v>
      </c>
      <c r="B64" s="73" t="s">
        <v>940</v>
      </c>
      <c r="C64" s="54">
        <v>2011</v>
      </c>
      <c r="D64" s="73" t="s">
        <v>941</v>
      </c>
      <c r="E64" s="56" t="s">
        <v>20</v>
      </c>
      <c r="F64" s="54">
        <v>2009</v>
      </c>
      <c r="G64" s="54" t="s">
        <v>326</v>
      </c>
      <c r="H64" s="54"/>
      <c r="I64" s="54"/>
      <c r="J64" s="66" t="s">
        <v>1013</v>
      </c>
      <c r="K64" s="54" t="s">
        <v>1091</v>
      </c>
      <c r="L64" s="54" t="s">
        <v>725</v>
      </c>
      <c r="M64" s="54"/>
      <c r="N64" s="54"/>
      <c r="O64" s="54">
        <v>37</v>
      </c>
      <c r="P64" s="54"/>
      <c r="Q64" s="54"/>
      <c r="R64" s="54"/>
      <c r="S64" s="54"/>
      <c r="T64" s="54"/>
      <c r="U64" s="54">
        <v>0.9</v>
      </c>
      <c r="V64" s="54"/>
      <c r="W64" s="54"/>
      <c r="X64" s="66">
        <f t="shared" si="0"/>
        <v>0.9</v>
      </c>
      <c r="Y64" s="71">
        <v>113</v>
      </c>
      <c r="Z64" s="192" t="str">
        <f t="shared" si="2"/>
        <v>F</v>
      </c>
      <c r="AH64" s="172"/>
      <c r="AI64" s="172"/>
      <c r="AJ64" s="172"/>
      <c r="AK64" s="172"/>
      <c r="AL64" s="172"/>
    </row>
    <row r="65" spans="1:38" s="45" customFormat="1">
      <c r="A65" s="66"/>
      <c r="B65" s="73" t="s">
        <v>766</v>
      </c>
      <c r="C65" s="54">
        <v>2013</v>
      </c>
      <c r="D65" s="66"/>
      <c r="E65" s="56" t="s">
        <v>172</v>
      </c>
      <c r="F65" s="54">
        <v>2011</v>
      </c>
      <c r="G65" s="54" t="s">
        <v>631</v>
      </c>
      <c r="H65" s="66" t="s">
        <v>159</v>
      </c>
      <c r="I65" s="66" t="s">
        <v>1014</v>
      </c>
      <c r="J65" s="74" t="s">
        <v>1013</v>
      </c>
      <c r="K65" s="54" t="s">
        <v>1091</v>
      </c>
      <c r="L65" s="54" t="s">
        <v>974</v>
      </c>
      <c r="M65" s="66"/>
      <c r="N65" s="66"/>
      <c r="O65" s="66" t="s">
        <v>972</v>
      </c>
      <c r="P65" s="66"/>
      <c r="Q65" s="66"/>
      <c r="R65" s="66"/>
      <c r="S65" s="66"/>
      <c r="T65" s="66"/>
      <c r="U65" s="54">
        <v>0.9</v>
      </c>
      <c r="V65" s="66"/>
      <c r="W65" s="66"/>
      <c r="X65" s="66">
        <f t="shared" si="0"/>
        <v>0.9</v>
      </c>
      <c r="Y65" s="71">
        <v>115.3</v>
      </c>
      <c r="Z65" s="192" t="str">
        <f t="shared" si="2"/>
        <v>F</v>
      </c>
      <c r="AA65" s="66"/>
      <c r="AB65" s="66"/>
      <c r="AC65" s="66"/>
      <c r="AD65" s="172"/>
      <c r="AE65" s="172"/>
      <c r="AF65" s="172"/>
      <c r="AG65" s="172"/>
      <c r="AH65" s="172"/>
      <c r="AI65" s="172"/>
      <c r="AJ65" s="172"/>
      <c r="AK65" s="172"/>
      <c r="AL65" s="172"/>
    </row>
    <row r="66" spans="1:38" s="45" customFormat="1">
      <c r="A66" s="66"/>
      <c r="B66" s="73" t="s">
        <v>766</v>
      </c>
      <c r="C66" s="54">
        <v>2013</v>
      </c>
      <c r="D66" s="66"/>
      <c r="E66" s="56" t="s">
        <v>172</v>
      </c>
      <c r="F66" s="54">
        <v>2011</v>
      </c>
      <c r="G66" s="54" t="s">
        <v>631</v>
      </c>
      <c r="H66" s="66" t="s">
        <v>159</v>
      </c>
      <c r="I66" s="66" t="s">
        <v>1014</v>
      </c>
      <c r="J66" s="74" t="s">
        <v>1013</v>
      </c>
      <c r="K66" s="54" t="s">
        <v>1091</v>
      </c>
      <c r="L66" s="54" t="s">
        <v>975</v>
      </c>
      <c r="M66" s="66"/>
      <c r="N66" s="66"/>
      <c r="O66" s="66" t="s">
        <v>976</v>
      </c>
      <c r="P66" s="66"/>
      <c r="Q66" s="66"/>
      <c r="R66" s="66"/>
      <c r="S66" s="66"/>
      <c r="T66" s="66"/>
      <c r="U66" s="54">
        <v>0.89900000000000002</v>
      </c>
      <c r="V66" s="66"/>
      <c r="W66" s="66"/>
      <c r="X66" s="66">
        <f t="shared" ref="X66:X129" si="3">IF(R66&lt;&gt;0,IF(R66&gt;1,R66/100,R66),IF(U66&lt;&gt;0,IF(U66&gt;1,U66/100,U66),""))</f>
        <v>0.89900000000000002</v>
      </c>
      <c r="Y66" s="71">
        <v>117.2</v>
      </c>
      <c r="Z66" s="192" t="str">
        <f t="shared" si="2"/>
        <v>S</v>
      </c>
      <c r="AA66" s="66"/>
      <c r="AB66" s="66"/>
      <c r="AC66" s="66"/>
      <c r="AD66" s="172"/>
      <c r="AE66" s="172"/>
      <c r="AF66" s="172"/>
      <c r="AG66" s="172"/>
      <c r="AH66" s="172"/>
      <c r="AI66" s="172"/>
      <c r="AJ66" s="172"/>
      <c r="AK66" s="172"/>
      <c r="AL66" s="172"/>
    </row>
    <row r="67" spans="1:38" s="45" customFormat="1">
      <c r="A67" s="66"/>
      <c r="B67" s="73" t="s">
        <v>766</v>
      </c>
      <c r="C67" s="54">
        <v>2013</v>
      </c>
      <c r="D67" s="66"/>
      <c r="E67" s="56" t="s">
        <v>172</v>
      </c>
      <c r="F67" s="54">
        <v>2011</v>
      </c>
      <c r="G67" s="54" t="s">
        <v>631</v>
      </c>
      <c r="H67" s="66" t="s">
        <v>159</v>
      </c>
      <c r="I67" s="66" t="s">
        <v>1014</v>
      </c>
      <c r="J67" s="74" t="s">
        <v>1013</v>
      </c>
      <c r="K67" s="54" t="s">
        <v>1091</v>
      </c>
      <c r="L67" s="54" t="s">
        <v>974</v>
      </c>
      <c r="M67" s="66"/>
      <c r="N67" s="66"/>
      <c r="O67" s="66" t="s">
        <v>972</v>
      </c>
      <c r="P67" s="66"/>
      <c r="Q67" s="66"/>
      <c r="R67" s="66"/>
      <c r="S67" s="66"/>
      <c r="T67" s="66"/>
      <c r="U67" s="54">
        <v>0.89800000000000002</v>
      </c>
      <c r="V67" s="66"/>
      <c r="W67" s="66"/>
      <c r="X67" s="66">
        <f t="shared" si="3"/>
        <v>0.89800000000000002</v>
      </c>
      <c r="Y67" s="71">
        <v>117.4</v>
      </c>
      <c r="Z67" s="192" t="str">
        <f t="shared" si="2"/>
        <v>S</v>
      </c>
      <c r="AA67" s="66"/>
      <c r="AB67" s="66"/>
      <c r="AC67" s="66"/>
      <c r="AD67" s="172"/>
      <c r="AE67" s="172"/>
      <c r="AF67" s="172"/>
      <c r="AG67" s="172"/>
      <c r="AH67" s="172"/>
      <c r="AI67" s="172"/>
      <c r="AJ67" s="172"/>
      <c r="AK67" s="172"/>
      <c r="AL67" s="172"/>
    </row>
    <row r="68" spans="1:38" s="45" customFormat="1">
      <c r="A68" s="66"/>
      <c r="B68" s="73" t="s">
        <v>766</v>
      </c>
      <c r="C68" s="54">
        <v>2013</v>
      </c>
      <c r="D68" s="66"/>
      <c r="E68" s="56" t="s">
        <v>172</v>
      </c>
      <c r="F68" s="54">
        <v>2011</v>
      </c>
      <c r="G68" s="54" t="s">
        <v>631</v>
      </c>
      <c r="H68" s="66" t="s">
        <v>159</v>
      </c>
      <c r="I68" s="66" t="s">
        <v>1014</v>
      </c>
      <c r="J68" s="74" t="s">
        <v>1013</v>
      </c>
      <c r="K68" s="54" t="s">
        <v>1091</v>
      </c>
      <c r="L68" s="54" t="s">
        <v>978</v>
      </c>
      <c r="M68" s="66"/>
      <c r="N68" s="66"/>
      <c r="O68" s="66" t="s">
        <v>977</v>
      </c>
      <c r="P68" s="66"/>
      <c r="Q68" s="66"/>
      <c r="R68" s="66"/>
      <c r="S68" s="66"/>
      <c r="T68" s="66"/>
      <c r="U68" s="54">
        <v>0.89700000000000002</v>
      </c>
      <c r="V68" s="66"/>
      <c r="W68" s="66"/>
      <c r="X68" s="66">
        <f t="shared" si="3"/>
        <v>0.89700000000000002</v>
      </c>
      <c r="Y68" s="71">
        <v>119.2</v>
      </c>
      <c r="Z68" s="192" t="str">
        <f t="shared" ref="Z68:Z99" si="4">IF(X68&lt;&gt;"",IF(X68&lt;0.9,"S","F"),"")</f>
        <v>S</v>
      </c>
      <c r="AA68" s="66"/>
      <c r="AB68" s="66"/>
      <c r="AC68" s="66"/>
      <c r="AD68" s="172"/>
      <c r="AE68" s="172"/>
      <c r="AF68" s="172"/>
      <c r="AG68" s="172"/>
      <c r="AH68" s="172"/>
      <c r="AI68" s="172"/>
      <c r="AJ68" s="172"/>
      <c r="AK68" s="172"/>
      <c r="AL68" s="172"/>
    </row>
    <row r="69" spans="1:38" s="45" customFormat="1">
      <c r="A69" s="66"/>
      <c r="B69" s="73" t="s">
        <v>766</v>
      </c>
      <c r="C69" s="54">
        <v>2013</v>
      </c>
      <c r="D69" s="66"/>
      <c r="E69" s="56" t="s">
        <v>172</v>
      </c>
      <c r="F69" s="54">
        <v>2011</v>
      </c>
      <c r="G69" s="54" t="s">
        <v>631</v>
      </c>
      <c r="H69" s="66" t="s">
        <v>159</v>
      </c>
      <c r="I69" s="66" t="s">
        <v>1014</v>
      </c>
      <c r="J69" s="74" t="s">
        <v>1013</v>
      </c>
      <c r="K69" s="54" t="s">
        <v>1091</v>
      </c>
      <c r="L69" s="54" t="s">
        <v>975</v>
      </c>
      <c r="M69" s="66"/>
      <c r="N69" s="66"/>
      <c r="O69" s="66" t="s">
        <v>976</v>
      </c>
      <c r="P69" s="66"/>
      <c r="Q69" s="66"/>
      <c r="R69" s="66"/>
      <c r="S69" s="66"/>
      <c r="T69" s="66"/>
      <c r="U69" s="54">
        <v>0.89500000000000002</v>
      </c>
      <c r="V69" s="66"/>
      <c r="W69" s="66"/>
      <c r="X69" s="66">
        <f t="shared" si="3"/>
        <v>0.89500000000000002</v>
      </c>
      <c r="Y69" s="71">
        <v>121.7</v>
      </c>
      <c r="Z69" s="192" t="str">
        <f t="shared" si="4"/>
        <v>S</v>
      </c>
      <c r="AA69" s="66"/>
      <c r="AB69" s="66"/>
      <c r="AC69" s="66"/>
      <c r="AD69" s="172"/>
      <c r="AE69" s="172"/>
      <c r="AF69" s="172"/>
      <c r="AG69" s="172"/>
      <c r="AH69" s="172"/>
      <c r="AI69" s="172"/>
      <c r="AJ69" s="172"/>
      <c r="AK69" s="172"/>
      <c r="AL69" s="172"/>
    </row>
    <row r="70" spans="1:38" s="45" customFormat="1">
      <c r="A70" s="66"/>
      <c r="B70" s="73" t="s">
        <v>766</v>
      </c>
      <c r="C70" s="54">
        <v>2013</v>
      </c>
      <c r="D70" s="66"/>
      <c r="E70" s="56" t="s">
        <v>172</v>
      </c>
      <c r="F70" s="54">
        <v>2011</v>
      </c>
      <c r="G70" s="54" t="s">
        <v>631</v>
      </c>
      <c r="H70" s="66" t="s">
        <v>159</v>
      </c>
      <c r="I70" s="66" t="s">
        <v>1014</v>
      </c>
      <c r="J70" s="74" t="s">
        <v>1013</v>
      </c>
      <c r="K70" s="54" t="s">
        <v>1091</v>
      </c>
      <c r="L70" s="54" t="s">
        <v>978</v>
      </c>
      <c r="M70" s="66"/>
      <c r="N70" s="66"/>
      <c r="O70" s="66" t="s">
        <v>977</v>
      </c>
      <c r="P70" s="66"/>
      <c r="Q70" s="66"/>
      <c r="R70" s="66"/>
      <c r="S70" s="66"/>
      <c r="T70" s="66"/>
      <c r="U70" s="54">
        <v>0.89500000000000002</v>
      </c>
      <c r="V70" s="66"/>
      <c r="W70" s="66"/>
      <c r="X70" s="66">
        <f t="shared" si="3"/>
        <v>0.89500000000000002</v>
      </c>
      <c r="Y70" s="71">
        <v>121.4</v>
      </c>
      <c r="Z70" s="192" t="str">
        <f t="shared" si="4"/>
        <v>S</v>
      </c>
      <c r="AA70" s="66"/>
      <c r="AB70" s="66"/>
      <c r="AC70" s="66"/>
      <c r="AD70" s="172"/>
      <c r="AE70" s="172"/>
      <c r="AF70" s="172"/>
      <c r="AG70" s="172"/>
      <c r="AH70" s="172"/>
      <c r="AI70" s="172"/>
      <c r="AJ70" s="172"/>
      <c r="AK70" s="172"/>
      <c r="AL70" s="172"/>
    </row>
    <row r="71" spans="1:38" s="45" customFormat="1">
      <c r="A71" s="66"/>
      <c r="B71" s="73" t="s">
        <v>766</v>
      </c>
      <c r="C71" s="54">
        <v>2013</v>
      </c>
      <c r="D71" s="66"/>
      <c r="E71" s="56" t="s">
        <v>172</v>
      </c>
      <c r="F71" s="54">
        <v>2011</v>
      </c>
      <c r="G71" s="54" t="s">
        <v>631</v>
      </c>
      <c r="H71" s="66" t="s">
        <v>159</v>
      </c>
      <c r="I71" s="66" t="s">
        <v>1014</v>
      </c>
      <c r="J71" s="74" t="s">
        <v>1013</v>
      </c>
      <c r="K71" s="54" t="s">
        <v>1091</v>
      </c>
      <c r="L71" s="54" t="s">
        <v>975</v>
      </c>
      <c r="M71" s="66"/>
      <c r="N71" s="66"/>
      <c r="O71" s="66" t="s">
        <v>976</v>
      </c>
      <c r="P71" s="66"/>
      <c r="Q71" s="66"/>
      <c r="R71" s="66"/>
      <c r="S71" s="66"/>
      <c r="T71" s="66"/>
      <c r="U71" s="54">
        <v>0.89400000000000002</v>
      </c>
      <c r="V71" s="66"/>
      <c r="W71" s="66"/>
      <c r="X71" s="66">
        <f t="shared" si="3"/>
        <v>0.89400000000000002</v>
      </c>
      <c r="Y71" s="71">
        <v>122.9</v>
      </c>
      <c r="Z71" s="192" t="str">
        <f t="shared" si="4"/>
        <v>S</v>
      </c>
      <c r="AA71" s="66"/>
      <c r="AB71" s="66"/>
      <c r="AC71" s="66"/>
      <c r="AD71" s="172"/>
      <c r="AE71" s="172"/>
      <c r="AF71" s="172"/>
      <c r="AG71" s="172"/>
      <c r="AH71" s="172"/>
      <c r="AI71" s="172"/>
      <c r="AJ71" s="172"/>
      <c r="AK71" s="172"/>
      <c r="AL71" s="172"/>
    </row>
    <row r="72" spans="1:38" s="45" customFormat="1">
      <c r="A72" s="66"/>
      <c r="B72" s="73" t="s">
        <v>766</v>
      </c>
      <c r="C72" s="54">
        <v>2013</v>
      </c>
      <c r="D72" s="66"/>
      <c r="E72" s="56" t="s">
        <v>172</v>
      </c>
      <c r="F72" s="54">
        <v>2011</v>
      </c>
      <c r="G72" s="54" t="s">
        <v>631</v>
      </c>
      <c r="H72" s="66" t="s">
        <v>159</v>
      </c>
      <c r="I72" s="66" t="s">
        <v>1014</v>
      </c>
      <c r="J72" s="74" t="s">
        <v>1013</v>
      </c>
      <c r="K72" s="54" t="s">
        <v>1091</v>
      </c>
      <c r="L72" s="54" t="s">
        <v>974</v>
      </c>
      <c r="M72" s="66"/>
      <c r="N72" s="66"/>
      <c r="O72" s="66" t="s">
        <v>972</v>
      </c>
      <c r="P72" s="66"/>
      <c r="Q72" s="66"/>
      <c r="R72" s="66"/>
      <c r="S72" s="66"/>
      <c r="T72" s="66"/>
      <c r="U72" s="54">
        <v>0.89200000000000002</v>
      </c>
      <c r="V72" s="66"/>
      <c r="W72" s="66"/>
      <c r="X72" s="66">
        <f t="shared" si="3"/>
        <v>0.89200000000000002</v>
      </c>
      <c r="Y72" s="71">
        <v>125.1</v>
      </c>
      <c r="Z72" s="192" t="str">
        <f t="shared" si="4"/>
        <v>S</v>
      </c>
      <c r="AA72" s="66"/>
      <c r="AB72" s="66"/>
      <c r="AC72" s="66"/>
      <c r="AD72" s="172"/>
      <c r="AE72" s="172"/>
      <c r="AF72" s="172"/>
      <c r="AG72" s="172"/>
      <c r="AH72" s="172"/>
      <c r="AI72" s="172"/>
      <c r="AJ72" s="172"/>
      <c r="AK72" s="172"/>
      <c r="AL72" s="172"/>
    </row>
    <row r="73" spans="1:38" s="45" customFormat="1">
      <c r="A73" s="66"/>
      <c r="B73" s="73" t="s">
        <v>766</v>
      </c>
      <c r="C73" s="54">
        <v>2013</v>
      </c>
      <c r="D73" s="66"/>
      <c r="E73" s="56" t="s">
        <v>172</v>
      </c>
      <c r="F73" s="54">
        <v>2011</v>
      </c>
      <c r="G73" s="54" t="s">
        <v>631</v>
      </c>
      <c r="H73" s="66" t="s">
        <v>159</v>
      </c>
      <c r="I73" s="66" t="s">
        <v>1014</v>
      </c>
      <c r="J73" s="74" t="s">
        <v>1013</v>
      </c>
      <c r="K73" s="54" t="s">
        <v>1091</v>
      </c>
      <c r="L73" s="54" t="s">
        <v>974</v>
      </c>
      <c r="M73" s="66"/>
      <c r="N73" s="66"/>
      <c r="O73" s="66" t="s">
        <v>972</v>
      </c>
      <c r="P73" s="66"/>
      <c r="Q73" s="66"/>
      <c r="R73" s="66"/>
      <c r="S73" s="66"/>
      <c r="T73" s="66"/>
      <c r="U73" s="54">
        <v>0.89200000000000002</v>
      </c>
      <c r="V73" s="66"/>
      <c r="W73" s="66"/>
      <c r="X73" s="66">
        <f t="shared" si="3"/>
        <v>0.89200000000000002</v>
      </c>
      <c r="Y73" s="71">
        <v>124.9</v>
      </c>
      <c r="Z73" s="192" t="str">
        <f t="shared" si="4"/>
        <v>S</v>
      </c>
      <c r="AA73" s="66"/>
      <c r="AB73" s="66"/>
      <c r="AC73" s="66"/>
      <c r="AD73" s="172"/>
      <c r="AE73" s="172"/>
      <c r="AF73" s="172"/>
      <c r="AG73" s="172"/>
      <c r="AH73" s="172"/>
      <c r="AI73" s="172"/>
      <c r="AJ73" s="172"/>
      <c r="AK73" s="172"/>
      <c r="AL73" s="172"/>
    </row>
    <row r="74" spans="1:38" s="45" customFormat="1">
      <c r="A74" s="53">
        <v>203</v>
      </c>
      <c r="B74" s="73" t="s">
        <v>940</v>
      </c>
      <c r="C74" s="54">
        <v>2011</v>
      </c>
      <c r="D74" s="73" t="s">
        <v>941</v>
      </c>
      <c r="E74" s="56" t="s">
        <v>20</v>
      </c>
      <c r="F74" s="54">
        <v>2009</v>
      </c>
      <c r="G74" s="54" t="s">
        <v>326</v>
      </c>
      <c r="H74" s="54"/>
      <c r="I74" s="54"/>
      <c r="J74" s="66" t="s">
        <v>1013</v>
      </c>
      <c r="K74" s="54" t="s">
        <v>1091</v>
      </c>
      <c r="L74" s="54" t="s">
        <v>725</v>
      </c>
      <c r="M74" s="54"/>
      <c r="N74" s="54"/>
      <c r="O74" s="54">
        <v>61</v>
      </c>
      <c r="P74" s="54"/>
      <c r="Q74" s="54"/>
      <c r="R74" s="54"/>
      <c r="S74" s="54"/>
      <c r="T74" s="54"/>
      <c r="U74" s="54">
        <v>0.89</v>
      </c>
      <c r="V74" s="54"/>
      <c r="W74" s="54"/>
      <c r="X74" s="66">
        <f t="shared" si="3"/>
        <v>0.89</v>
      </c>
      <c r="Y74" s="71">
        <v>128.4</v>
      </c>
      <c r="Z74" s="192" t="str">
        <f t="shared" si="4"/>
        <v>S</v>
      </c>
      <c r="AH74" s="172"/>
      <c r="AI74" s="172"/>
      <c r="AJ74" s="172"/>
      <c r="AK74" s="172"/>
      <c r="AL74" s="172"/>
    </row>
    <row r="75" spans="1:38" s="45" customFormat="1">
      <c r="A75" s="66"/>
      <c r="B75" s="73" t="s">
        <v>766</v>
      </c>
      <c r="C75" s="54">
        <v>2013</v>
      </c>
      <c r="D75" s="66"/>
      <c r="E75" s="56" t="s">
        <v>172</v>
      </c>
      <c r="F75" s="54">
        <v>2011</v>
      </c>
      <c r="G75" s="54" t="s">
        <v>631</v>
      </c>
      <c r="H75" s="66" t="s">
        <v>159</v>
      </c>
      <c r="I75" s="66" t="s">
        <v>1014</v>
      </c>
      <c r="J75" s="74" t="s">
        <v>1013</v>
      </c>
      <c r="K75" s="54" t="s">
        <v>1091</v>
      </c>
      <c r="L75" s="54" t="s">
        <v>975</v>
      </c>
      <c r="M75" s="66"/>
      <c r="N75" s="66"/>
      <c r="O75" s="66" t="s">
        <v>976</v>
      </c>
      <c r="P75" s="66"/>
      <c r="Q75" s="66"/>
      <c r="R75" s="66"/>
      <c r="S75" s="66"/>
      <c r="T75" s="66"/>
      <c r="U75" s="54">
        <v>0.89</v>
      </c>
      <c r="V75" s="66"/>
      <c r="W75" s="66"/>
      <c r="X75" s="66">
        <f t="shared" si="3"/>
        <v>0.89</v>
      </c>
      <c r="Y75" s="71">
        <v>127.4</v>
      </c>
      <c r="Z75" s="192" t="str">
        <f t="shared" si="4"/>
        <v>S</v>
      </c>
      <c r="AA75" s="66"/>
      <c r="AB75" s="66"/>
      <c r="AC75" s="66"/>
      <c r="AD75" s="172"/>
      <c r="AE75" s="172"/>
      <c r="AF75" s="172"/>
      <c r="AG75" s="172"/>
      <c r="AH75" s="172"/>
      <c r="AI75" s="172"/>
      <c r="AJ75" s="172"/>
      <c r="AK75" s="172"/>
      <c r="AL75" s="172"/>
    </row>
    <row r="76" spans="1:38" s="45" customFormat="1">
      <c r="A76" s="66"/>
      <c r="B76" s="73" t="s">
        <v>766</v>
      </c>
      <c r="C76" s="54">
        <v>2013</v>
      </c>
      <c r="D76" s="66"/>
      <c r="E76" s="56" t="s">
        <v>172</v>
      </c>
      <c r="F76" s="54">
        <v>2011</v>
      </c>
      <c r="G76" s="54" t="s">
        <v>631</v>
      </c>
      <c r="H76" s="66" t="s">
        <v>159</v>
      </c>
      <c r="I76" s="66" t="s">
        <v>1014</v>
      </c>
      <c r="J76" s="74" t="s">
        <v>1013</v>
      </c>
      <c r="K76" s="54" t="s">
        <v>1091</v>
      </c>
      <c r="L76" s="54" t="s">
        <v>974</v>
      </c>
      <c r="M76" s="66"/>
      <c r="N76" s="66"/>
      <c r="O76" s="66" t="s">
        <v>972</v>
      </c>
      <c r="P76" s="66"/>
      <c r="Q76" s="66"/>
      <c r="R76" s="66"/>
      <c r="S76" s="66"/>
      <c r="T76" s="66"/>
      <c r="U76" s="54">
        <v>0.89</v>
      </c>
      <c r="V76" s="66"/>
      <c r="W76" s="66"/>
      <c r="X76" s="66">
        <f t="shared" si="3"/>
        <v>0.89</v>
      </c>
      <c r="Y76" s="71">
        <v>126.9</v>
      </c>
      <c r="Z76" s="192" t="str">
        <f t="shared" si="4"/>
        <v>S</v>
      </c>
      <c r="AA76" s="66"/>
      <c r="AB76" s="66"/>
      <c r="AC76" s="66"/>
      <c r="AD76" s="172"/>
      <c r="AE76" s="172"/>
      <c r="AF76" s="172"/>
      <c r="AG76" s="172"/>
      <c r="AH76" s="172"/>
      <c r="AI76" s="172"/>
      <c r="AJ76" s="172"/>
      <c r="AK76" s="172"/>
      <c r="AL76" s="172"/>
    </row>
    <row r="77" spans="1:38" s="45" customFormat="1">
      <c r="A77" s="66"/>
      <c r="B77" s="73" t="s">
        <v>766</v>
      </c>
      <c r="C77" s="54">
        <v>2013</v>
      </c>
      <c r="D77" s="66"/>
      <c r="E77" s="56" t="s">
        <v>172</v>
      </c>
      <c r="F77" s="54">
        <v>2011</v>
      </c>
      <c r="G77" s="54" t="s">
        <v>631</v>
      </c>
      <c r="H77" s="66" t="s">
        <v>159</v>
      </c>
      <c r="I77" s="66" t="s">
        <v>1014</v>
      </c>
      <c r="J77" s="74" t="s">
        <v>1013</v>
      </c>
      <c r="K77" s="54" t="s">
        <v>1091</v>
      </c>
      <c r="L77" s="54" t="s">
        <v>974</v>
      </c>
      <c r="M77" s="66"/>
      <c r="N77" s="66"/>
      <c r="O77" s="66" t="s">
        <v>972</v>
      </c>
      <c r="P77" s="66"/>
      <c r="Q77" s="66"/>
      <c r="R77" s="66"/>
      <c r="S77" s="66"/>
      <c r="T77" s="66"/>
      <c r="U77" s="54">
        <v>0.89</v>
      </c>
      <c r="V77" s="66"/>
      <c r="W77" s="66"/>
      <c r="X77" s="66">
        <f t="shared" si="3"/>
        <v>0.89</v>
      </c>
      <c r="Y77" s="71">
        <v>126.8</v>
      </c>
      <c r="Z77" s="192" t="str">
        <f t="shared" si="4"/>
        <v>S</v>
      </c>
      <c r="AA77" s="66"/>
      <c r="AB77" s="66"/>
      <c r="AC77" s="66"/>
      <c r="AD77" s="172"/>
      <c r="AE77" s="172"/>
      <c r="AF77" s="172"/>
      <c r="AG77" s="172"/>
      <c r="AH77" s="172"/>
      <c r="AI77" s="172"/>
      <c r="AJ77" s="172"/>
      <c r="AK77" s="172"/>
      <c r="AL77" s="172"/>
    </row>
    <row r="78" spans="1:38" s="45" customFormat="1">
      <c r="A78" s="66"/>
      <c r="B78" s="73" t="s">
        <v>766</v>
      </c>
      <c r="C78" s="54">
        <v>2013</v>
      </c>
      <c r="D78" s="66"/>
      <c r="E78" s="56" t="s">
        <v>172</v>
      </c>
      <c r="F78" s="54">
        <v>2011</v>
      </c>
      <c r="G78" s="54" t="s">
        <v>631</v>
      </c>
      <c r="H78" s="66" t="s">
        <v>159</v>
      </c>
      <c r="I78" s="66" t="s">
        <v>1014</v>
      </c>
      <c r="J78" s="74" t="s">
        <v>1013</v>
      </c>
      <c r="K78" s="54" t="s">
        <v>1091</v>
      </c>
      <c r="L78" s="54" t="s">
        <v>974</v>
      </c>
      <c r="M78" s="66"/>
      <c r="N78" s="66"/>
      <c r="O78" s="66" t="s">
        <v>972</v>
      </c>
      <c r="P78" s="66"/>
      <c r="Q78" s="66"/>
      <c r="R78" s="66"/>
      <c r="S78" s="66"/>
      <c r="T78" s="66"/>
      <c r="U78" s="54">
        <v>0.88900000000000001</v>
      </c>
      <c r="V78" s="66"/>
      <c r="W78" s="66"/>
      <c r="X78" s="66">
        <f t="shared" si="3"/>
        <v>0.88900000000000001</v>
      </c>
      <c r="Y78" s="71">
        <v>128.4</v>
      </c>
      <c r="Z78" s="192" t="str">
        <f t="shared" si="4"/>
        <v>S</v>
      </c>
      <c r="AA78" s="66"/>
      <c r="AB78" s="66"/>
      <c r="AC78" s="66"/>
      <c r="AD78" s="172"/>
      <c r="AE78" s="172"/>
      <c r="AF78" s="172"/>
      <c r="AG78" s="172"/>
      <c r="AH78" s="172"/>
      <c r="AI78" s="172"/>
      <c r="AJ78" s="172"/>
      <c r="AK78" s="172"/>
      <c r="AL78" s="172"/>
    </row>
    <row r="79" spans="1:38" s="45" customFormat="1">
      <c r="A79" s="66"/>
      <c r="B79" s="73" t="s">
        <v>766</v>
      </c>
      <c r="C79" s="54">
        <v>2013</v>
      </c>
      <c r="D79" s="66"/>
      <c r="E79" s="56" t="s">
        <v>172</v>
      </c>
      <c r="F79" s="54">
        <v>2011</v>
      </c>
      <c r="G79" s="54" t="s">
        <v>631</v>
      </c>
      <c r="H79" s="66" t="s">
        <v>159</v>
      </c>
      <c r="I79" s="66" t="s">
        <v>1014</v>
      </c>
      <c r="J79" s="74" t="s">
        <v>1013</v>
      </c>
      <c r="K79" s="54" t="s">
        <v>1091</v>
      </c>
      <c r="L79" s="54" t="s">
        <v>978</v>
      </c>
      <c r="M79" s="66"/>
      <c r="N79" s="66"/>
      <c r="O79" s="66" t="s">
        <v>977</v>
      </c>
      <c r="P79" s="66"/>
      <c r="Q79" s="66"/>
      <c r="R79" s="66"/>
      <c r="S79" s="66"/>
      <c r="T79" s="66"/>
      <c r="U79" s="54">
        <v>0.88900000000000001</v>
      </c>
      <c r="V79" s="66"/>
      <c r="W79" s="66"/>
      <c r="X79" s="66">
        <f t="shared" si="3"/>
        <v>0.88900000000000001</v>
      </c>
      <c r="Y79" s="71">
        <v>127.5</v>
      </c>
      <c r="Z79" s="192" t="str">
        <f t="shared" si="4"/>
        <v>S</v>
      </c>
      <c r="AA79" s="66"/>
      <c r="AB79" s="66"/>
      <c r="AC79" s="66"/>
      <c r="AD79" s="172"/>
      <c r="AE79" s="172"/>
      <c r="AF79" s="172"/>
      <c r="AG79" s="172"/>
      <c r="AH79" s="172"/>
      <c r="AI79" s="172"/>
      <c r="AJ79" s="172"/>
      <c r="AK79" s="172"/>
      <c r="AL79" s="172"/>
    </row>
    <row r="80" spans="1:38" s="45" customFormat="1">
      <c r="A80" s="66"/>
      <c r="B80" s="73" t="s">
        <v>766</v>
      </c>
      <c r="C80" s="54">
        <v>2013</v>
      </c>
      <c r="D80" s="66"/>
      <c r="E80" s="56" t="s">
        <v>172</v>
      </c>
      <c r="F80" s="54">
        <v>2011</v>
      </c>
      <c r="G80" s="54" t="s">
        <v>631</v>
      </c>
      <c r="H80" s="66" t="s">
        <v>159</v>
      </c>
      <c r="I80" s="66" t="s">
        <v>1014</v>
      </c>
      <c r="J80" s="74" t="s">
        <v>1013</v>
      </c>
      <c r="K80" s="54" t="s">
        <v>1091</v>
      </c>
      <c r="L80" s="54" t="s">
        <v>974</v>
      </c>
      <c r="M80" s="66"/>
      <c r="N80" s="66"/>
      <c r="O80" s="66" t="s">
        <v>972</v>
      </c>
      <c r="P80" s="66"/>
      <c r="Q80" s="66"/>
      <c r="R80" s="66"/>
      <c r="S80" s="66"/>
      <c r="T80" s="66"/>
      <c r="U80" s="54">
        <v>0.88600000000000001</v>
      </c>
      <c r="V80" s="66"/>
      <c r="W80" s="66"/>
      <c r="X80" s="66">
        <f t="shared" si="3"/>
        <v>0.88600000000000001</v>
      </c>
      <c r="Y80" s="71">
        <v>131.80000000000001</v>
      </c>
      <c r="Z80" s="192" t="str">
        <f t="shared" si="4"/>
        <v>S</v>
      </c>
      <c r="AA80" s="66"/>
      <c r="AB80" s="66"/>
      <c r="AC80" s="66"/>
      <c r="AD80" s="172"/>
      <c r="AE80" s="172"/>
      <c r="AF80" s="172"/>
      <c r="AG80" s="172"/>
      <c r="AH80" s="172"/>
      <c r="AI80" s="172"/>
      <c r="AJ80" s="172"/>
      <c r="AK80" s="172"/>
      <c r="AL80" s="172"/>
    </row>
    <row r="81" spans="1:38" s="45" customFormat="1">
      <c r="A81" s="66"/>
      <c r="B81" s="73" t="s">
        <v>766</v>
      </c>
      <c r="C81" s="54">
        <v>2013</v>
      </c>
      <c r="D81" s="66"/>
      <c r="E81" s="56" t="s">
        <v>172</v>
      </c>
      <c r="F81" s="54">
        <v>2011</v>
      </c>
      <c r="G81" s="54" t="s">
        <v>631</v>
      </c>
      <c r="H81" s="66" t="s">
        <v>159</v>
      </c>
      <c r="I81" s="66" t="s">
        <v>1014</v>
      </c>
      <c r="J81" s="74" t="s">
        <v>1013</v>
      </c>
      <c r="K81" s="54" t="s">
        <v>1091</v>
      </c>
      <c r="L81" s="54" t="s">
        <v>978</v>
      </c>
      <c r="M81" s="66"/>
      <c r="N81" s="66"/>
      <c r="O81" s="66" t="s">
        <v>977</v>
      </c>
      <c r="P81" s="66"/>
      <c r="Q81" s="66"/>
      <c r="R81" s="66"/>
      <c r="S81" s="66"/>
      <c r="T81" s="66"/>
      <c r="U81" s="54">
        <v>0.88600000000000001</v>
      </c>
      <c r="V81" s="66"/>
      <c r="W81" s="66"/>
      <c r="X81" s="66">
        <f t="shared" si="3"/>
        <v>0.88600000000000001</v>
      </c>
      <c r="Y81" s="71">
        <v>131.30000000000001</v>
      </c>
      <c r="Z81" s="192" t="str">
        <f t="shared" si="4"/>
        <v>S</v>
      </c>
      <c r="AA81" s="66"/>
      <c r="AB81" s="66"/>
      <c r="AC81" s="66"/>
      <c r="AD81" s="172"/>
      <c r="AE81" s="172"/>
      <c r="AF81" s="172"/>
      <c r="AG81" s="172"/>
      <c r="AH81" s="172"/>
      <c r="AI81" s="172"/>
      <c r="AJ81" s="172"/>
      <c r="AK81" s="172"/>
      <c r="AL81" s="172"/>
    </row>
    <row r="82" spans="1:38" s="45" customFormat="1">
      <c r="A82" s="66"/>
      <c r="B82" s="73" t="s">
        <v>766</v>
      </c>
      <c r="C82" s="54">
        <v>2013</v>
      </c>
      <c r="D82" s="66"/>
      <c r="E82" s="56" t="s">
        <v>172</v>
      </c>
      <c r="F82" s="54">
        <v>2011</v>
      </c>
      <c r="G82" s="54" t="s">
        <v>631</v>
      </c>
      <c r="H82" s="66" t="s">
        <v>159</v>
      </c>
      <c r="I82" s="66" t="s">
        <v>1014</v>
      </c>
      <c r="J82" s="74" t="s">
        <v>1013</v>
      </c>
      <c r="K82" s="54" t="s">
        <v>1091</v>
      </c>
      <c r="L82" s="54" t="s">
        <v>978</v>
      </c>
      <c r="M82" s="66"/>
      <c r="N82" s="66"/>
      <c r="O82" s="66" t="s">
        <v>977</v>
      </c>
      <c r="P82" s="66"/>
      <c r="Q82" s="66"/>
      <c r="R82" s="66"/>
      <c r="S82" s="66"/>
      <c r="T82" s="66"/>
      <c r="U82" s="54">
        <v>0.88500000000000001</v>
      </c>
      <c r="V82" s="66"/>
      <c r="W82" s="66"/>
      <c r="X82" s="66">
        <f t="shared" si="3"/>
        <v>0.88500000000000001</v>
      </c>
      <c r="Y82" s="71">
        <v>132.9</v>
      </c>
      <c r="Z82" s="192" t="str">
        <f t="shared" si="4"/>
        <v>S</v>
      </c>
      <c r="AA82" s="66"/>
      <c r="AB82" s="66"/>
      <c r="AC82" s="66"/>
      <c r="AD82" s="172"/>
      <c r="AE82" s="172"/>
      <c r="AF82" s="172"/>
      <c r="AG82" s="172"/>
      <c r="AH82" s="172"/>
      <c r="AI82" s="172"/>
      <c r="AJ82" s="172"/>
      <c r="AK82" s="172"/>
      <c r="AL82" s="172"/>
    </row>
    <row r="83" spans="1:38" s="45" customFormat="1">
      <c r="A83" s="66"/>
      <c r="B83" s="73" t="s">
        <v>766</v>
      </c>
      <c r="C83" s="54">
        <v>2013</v>
      </c>
      <c r="D83" s="66"/>
      <c r="E83" s="56" t="s">
        <v>172</v>
      </c>
      <c r="F83" s="54">
        <v>2011</v>
      </c>
      <c r="G83" s="54" t="s">
        <v>631</v>
      </c>
      <c r="H83" s="66" t="s">
        <v>159</v>
      </c>
      <c r="I83" s="66" t="s">
        <v>1014</v>
      </c>
      <c r="J83" s="74" t="s">
        <v>1013</v>
      </c>
      <c r="K83" s="54" t="s">
        <v>1091</v>
      </c>
      <c r="L83" s="54" t="s">
        <v>974</v>
      </c>
      <c r="M83" s="66"/>
      <c r="N83" s="66"/>
      <c r="O83" s="66" t="s">
        <v>972</v>
      </c>
      <c r="P83" s="66"/>
      <c r="Q83" s="66"/>
      <c r="R83" s="66"/>
      <c r="S83" s="66"/>
      <c r="T83" s="66"/>
      <c r="U83" s="54">
        <v>0.88500000000000001</v>
      </c>
      <c r="V83" s="66"/>
      <c r="W83" s="66"/>
      <c r="X83" s="66">
        <f t="shared" si="3"/>
        <v>0.88500000000000001</v>
      </c>
      <c r="Y83" s="71">
        <v>132.5</v>
      </c>
      <c r="Z83" s="192" t="str">
        <f t="shared" si="4"/>
        <v>S</v>
      </c>
      <c r="AA83" s="66"/>
      <c r="AB83" s="66"/>
      <c r="AC83" s="66"/>
      <c r="AD83" s="172"/>
      <c r="AE83" s="172"/>
      <c r="AF83" s="172"/>
      <c r="AG83" s="172"/>
      <c r="AH83" s="172"/>
      <c r="AI83" s="172"/>
      <c r="AJ83" s="172"/>
      <c r="AK83" s="172"/>
      <c r="AL83" s="172"/>
    </row>
    <row r="84" spans="1:38" s="45" customFormat="1">
      <c r="A84" s="66"/>
      <c r="B84" s="73" t="s">
        <v>766</v>
      </c>
      <c r="C84" s="54">
        <v>2013</v>
      </c>
      <c r="D84" s="66"/>
      <c r="E84" s="56" t="s">
        <v>172</v>
      </c>
      <c r="F84" s="54">
        <v>2011</v>
      </c>
      <c r="G84" s="54" t="s">
        <v>631</v>
      </c>
      <c r="H84" s="66" t="s">
        <v>159</v>
      </c>
      <c r="I84" s="66" t="s">
        <v>1014</v>
      </c>
      <c r="J84" s="74" t="s">
        <v>1013</v>
      </c>
      <c r="K84" s="54" t="s">
        <v>1091</v>
      </c>
      <c r="L84" s="54" t="s">
        <v>974</v>
      </c>
      <c r="M84" s="66"/>
      <c r="N84" s="66"/>
      <c r="O84" s="66" t="s">
        <v>972</v>
      </c>
      <c r="P84" s="66"/>
      <c r="Q84" s="66"/>
      <c r="R84" s="66"/>
      <c r="S84" s="66"/>
      <c r="T84" s="66"/>
      <c r="U84" s="54">
        <v>0.88400000000000001</v>
      </c>
      <c r="V84" s="66"/>
      <c r="W84" s="66"/>
      <c r="X84" s="66">
        <f t="shared" si="3"/>
        <v>0.88400000000000001</v>
      </c>
      <c r="Y84" s="71">
        <v>134</v>
      </c>
      <c r="Z84" s="192" t="str">
        <f t="shared" si="4"/>
        <v>S</v>
      </c>
      <c r="AA84" s="66"/>
      <c r="AB84" s="66"/>
      <c r="AC84" s="66"/>
      <c r="AD84" s="172"/>
      <c r="AE84" s="172"/>
      <c r="AF84" s="172"/>
      <c r="AG84" s="172"/>
      <c r="AH84" s="172"/>
      <c r="AI84" s="172"/>
      <c r="AJ84" s="172"/>
      <c r="AK84" s="172"/>
      <c r="AL84" s="172"/>
    </row>
    <row r="85" spans="1:38" s="45" customFormat="1">
      <c r="A85" s="66"/>
      <c r="B85" s="73" t="s">
        <v>766</v>
      </c>
      <c r="C85" s="54">
        <v>2013</v>
      </c>
      <c r="D85" s="66"/>
      <c r="E85" s="56" t="s">
        <v>172</v>
      </c>
      <c r="F85" s="54">
        <v>2011</v>
      </c>
      <c r="G85" s="54" t="s">
        <v>631</v>
      </c>
      <c r="H85" s="66" t="s">
        <v>159</v>
      </c>
      <c r="I85" s="66" t="s">
        <v>1014</v>
      </c>
      <c r="J85" s="74" t="s">
        <v>1013</v>
      </c>
      <c r="K85" s="54" t="s">
        <v>1091</v>
      </c>
      <c r="L85" s="54" t="s">
        <v>974</v>
      </c>
      <c r="M85" s="66"/>
      <c r="N85" s="66"/>
      <c r="O85" s="66" t="s">
        <v>972</v>
      </c>
      <c r="P85" s="66"/>
      <c r="Q85" s="66"/>
      <c r="R85" s="66"/>
      <c r="S85" s="66"/>
      <c r="T85" s="66"/>
      <c r="U85" s="54">
        <v>0.88400000000000001</v>
      </c>
      <c r="V85" s="66"/>
      <c r="W85" s="66"/>
      <c r="X85" s="66">
        <f t="shared" si="3"/>
        <v>0.88400000000000001</v>
      </c>
      <c r="Y85" s="71">
        <v>133.5</v>
      </c>
      <c r="Z85" s="192" t="str">
        <f t="shared" si="4"/>
        <v>S</v>
      </c>
      <c r="AA85" s="66"/>
      <c r="AB85" s="66"/>
      <c r="AC85" s="66"/>
      <c r="AD85" s="172"/>
      <c r="AE85" s="172"/>
      <c r="AF85" s="172"/>
      <c r="AG85" s="172"/>
      <c r="AH85" s="172"/>
      <c r="AI85" s="172"/>
      <c r="AJ85" s="172"/>
      <c r="AK85" s="172"/>
      <c r="AL85" s="172"/>
    </row>
    <row r="86" spans="1:38" s="45" customFormat="1">
      <c r="A86" s="66"/>
      <c r="B86" s="73" t="s">
        <v>766</v>
      </c>
      <c r="C86" s="54">
        <v>2013</v>
      </c>
      <c r="D86" s="66"/>
      <c r="E86" s="56" t="s">
        <v>172</v>
      </c>
      <c r="F86" s="54">
        <v>2011</v>
      </c>
      <c r="G86" s="54" t="s">
        <v>631</v>
      </c>
      <c r="H86" s="66" t="s">
        <v>159</v>
      </c>
      <c r="I86" s="66" t="s">
        <v>1014</v>
      </c>
      <c r="J86" s="74" t="s">
        <v>1013</v>
      </c>
      <c r="K86" s="54" t="s">
        <v>1091</v>
      </c>
      <c r="L86" s="54" t="s">
        <v>978</v>
      </c>
      <c r="M86" s="66"/>
      <c r="N86" s="66"/>
      <c r="O86" s="66" t="s">
        <v>977</v>
      </c>
      <c r="P86" s="66"/>
      <c r="Q86" s="66"/>
      <c r="R86" s="66"/>
      <c r="S86" s="66"/>
      <c r="T86" s="66"/>
      <c r="U86" s="54">
        <v>0.879</v>
      </c>
      <c r="V86" s="66"/>
      <c r="W86" s="66"/>
      <c r="X86" s="66">
        <f t="shared" si="3"/>
        <v>0.879</v>
      </c>
      <c r="Y86" s="71">
        <v>139.5</v>
      </c>
      <c r="Z86" s="192" t="str">
        <f t="shared" si="4"/>
        <v>S</v>
      </c>
      <c r="AA86" s="66"/>
      <c r="AB86" s="66"/>
      <c r="AC86" s="66"/>
      <c r="AD86" s="172"/>
      <c r="AE86" s="172"/>
      <c r="AF86" s="172"/>
      <c r="AG86" s="172"/>
      <c r="AH86" s="172"/>
      <c r="AI86" s="172"/>
      <c r="AJ86" s="172"/>
      <c r="AK86" s="172"/>
      <c r="AL86" s="172"/>
    </row>
    <row r="87" spans="1:38" s="45" customFormat="1">
      <c r="A87" s="66"/>
      <c r="B87" s="73" t="s">
        <v>766</v>
      </c>
      <c r="C87" s="54">
        <v>2013</v>
      </c>
      <c r="D87" s="66"/>
      <c r="E87" s="56" t="s">
        <v>172</v>
      </c>
      <c r="F87" s="54">
        <v>2011</v>
      </c>
      <c r="G87" s="54" t="s">
        <v>631</v>
      </c>
      <c r="H87" s="66" t="s">
        <v>159</v>
      </c>
      <c r="I87" s="66" t="s">
        <v>1014</v>
      </c>
      <c r="J87" s="74" t="s">
        <v>1013</v>
      </c>
      <c r="K87" s="54" t="s">
        <v>1091</v>
      </c>
      <c r="L87" s="54" t="s">
        <v>978</v>
      </c>
      <c r="M87" s="66"/>
      <c r="N87" s="66"/>
      <c r="O87" s="66" t="s">
        <v>977</v>
      </c>
      <c r="P87" s="66"/>
      <c r="Q87" s="66"/>
      <c r="R87" s="66"/>
      <c r="S87" s="66"/>
      <c r="T87" s="66"/>
      <c r="U87" s="54">
        <v>0.878</v>
      </c>
      <c r="V87" s="66"/>
      <c r="W87" s="66"/>
      <c r="X87" s="66">
        <f t="shared" si="3"/>
        <v>0.878</v>
      </c>
      <c r="Y87" s="71">
        <v>140.69999999999999</v>
      </c>
      <c r="Z87" s="192" t="str">
        <f t="shared" si="4"/>
        <v>S</v>
      </c>
      <c r="AA87" s="66"/>
      <c r="AB87" s="66"/>
      <c r="AC87" s="66"/>
      <c r="AD87" s="172"/>
      <c r="AE87" s="172"/>
      <c r="AF87" s="172"/>
      <c r="AG87" s="172"/>
      <c r="AH87" s="172"/>
      <c r="AI87" s="172"/>
      <c r="AJ87" s="172"/>
      <c r="AK87" s="172"/>
      <c r="AL87" s="172"/>
    </row>
    <row r="88" spans="1:38" s="45" customFormat="1">
      <c r="A88" s="66"/>
      <c r="B88" s="73" t="s">
        <v>766</v>
      </c>
      <c r="C88" s="54">
        <v>2013</v>
      </c>
      <c r="D88" s="66"/>
      <c r="E88" s="56" t="s">
        <v>172</v>
      </c>
      <c r="F88" s="54">
        <v>2011</v>
      </c>
      <c r="G88" s="54" t="s">
        <v>631</v>
      </c>
      <c r="H88" s="66" t="s">
        <v>159</v>
      </c>
      <c r="I88" s="66" t="s">
        <v>1014</v>
      </c>
      <c r="J88" s="74" t="s">
        <v>1013</v>
      </c>
      <c r="K88" s="54" t="s">
        <v>1091</v>
      </c>
      <c r="L88" s="54" t="s">
        <v>974</v>
      </c>
      <c r="M88" s="66"/>
      <c r="N88" s="66"/>
      <c r="O88" s="66" t="s">
        <v>972</v>
      </c>
      <c r="P88" s="66"/>
      <c r="Q88" s="66"/>
      <c r="R88" s="66"/>
      <c r="S88" s="66"/>
      <c r="T88" s="66"/>
      <c r="U88" s="54">
        <v>0.876</v>
      </c>
      <c r="V88" s="66"/>
      <c r="W88" s="66"/>
      <c r="X88" s="66">
        <f t="shared" si="3"/>
        <v>0.876</v>
      </c>
      <c r="Y88" s="71">
        <v>143.19999999999999</v>
      </c>
      <c r="Z88" s="192" t="str">
        <f t="shared" si="4"/>
        <v>S</v>
      </c>
      <c r="AA88" s="66"/>
      <c r="AB88" s="66"/>
      <c r="AC88" s="66"/>
      <c r="AD88" s="172"/>
      <c r="AE88" s="172"/>
      <c r="AF88" s="172"/>
      <c r="AG88" s="172"/>
      <c r="AH88" s="172"/>
      <c r="AI88" s="172"/>
      <c r="AJ88" s="172"/>
      <c r="AK88" s="172"/>
      <c r="AL88" s="172"/>
    </row>
    <row r="89" spans="1:38" s="45" customFormat="1">
      <c r="A89" s="66"/>
      <c r="B89" s="73" t="s">
        <v>766</v>
      </c>
      <c r="C89" s="54">
        <v>2013</v>
      </c>
      <c r="D89" s="66"/>
      <c r="E89" s="56" t="s">
        <v>172</v>
      </c>
      <c r="F89" s="54">
        <v>2011</v>
      </c>
      <c r="G89" s="54" t="s">
        <v>631</v>
      </c>
      <c r="H89" s="66" t="s">
        <v>159</v>
      </c>
      <c r="I89" s="66" t="s">
        <v>1014</v>
      </c>
      <c r="J89" s="74" t="s">
        <v>1013</v>
      </c>
      <c r="K89" s="54" t="s">
        <v>1091</v>
      </c>
      <c r="L89" s="54" t="s">
        <v>978</v>
      </c>
      <c r="M89" s="66"/>
      <c r="N89" s="66"/>
      <c r="O89" s="66" t="s">
        <v>977</v>
      </c>
      <c r="P89" s="66"/>
      <c r="Q89" s="66"/>
      <c r="R89" s="66"/>
      <c r="S89" s="66"/>
      <c r="T89" s="66"/>
      <c r="U89" s="54">
        <v>0.876</v>
      </c>
      <c r="V89" s="66"/>
      <c r="W89" s="66"/>
      <c r="X89" s="66">
        <f t="shared" si="3"/>
        <v>0.876</v>
      </c>
      <c r="Y89" s="71">
        <v>143.1</v>
      </c>
      <c r="Z89" s="192" t="str">
        <f t="shared" si="4"/>
        <v>S</v>
      </c>
      <c r="AA89" s="66"/>
      <c r="AB89" s="66"/>
      <c r="AC89" s="66"/>
      <c r="AD89" s="172"/>
      <c r="AE89" s="172"/>
      <c r="AF89" s="172"/>
      <c r="AG89" s="172"/>
      <c r="AH89" s="172"/>
      <c r="AI89" s="172"/>
      <c r="AJ89" s="172"/>
      <c r="AK89" s="172"/>
      <c r="AL89" s="172"/>
    </row>
    <row r="90" spans="1:38" s="45" customFormat="1">
      <c r="A90" s="66"/>
      <c r="B90" s="73" t="s">
        <v>766</v>
      </c>
      <c r="C90" s="54">
        <v>2013</v>
      </c>
      <c r="D90" s="66"/>
      <c r="E90" s="56" t="s">
        <v>172</v>
      </c>
      <c r="F90" s="54">
        <v>2011</v>
      </c>
      <c r="G90" s="54" t="s">
        <v>631</v>
      </c>
      <c r="H90" s="66" t="s">
        <v>159</v>
      </c>
      <c r="I90" s="66" t="s">
        <v>1014</v>
      </c>
      <c r="J90" s="74" t="s">
        <v>1013</v>
      </c>
      <c r="K90" s="54" t="s">
        <v>1091</v>
      </c>
      <c r="L90" s="54" t="s">
        <v>978</v>
      </c>
      <c r="M90" s="66"/>
      <c r="N90" s="66"/>
      <c r="O90" s="66" t="s">
        <v>977</v>
      </c>
      <c r="P90" s="66"/>
      <c r="Q90" s="66"/>
      <c r="R90" s="66"/>
      <c r="S90" s="66"/>
      <c r="T90" s="66"/>
      <c r="U90" s="54">
        <v>0.876</v>
      </c>
      <c r="V90" s="66"/>
      <c r="W90" s="66"/>
      <c r="X90" s="66">
        <f t="shared" si="3"/>
        <v>0.876</v>
      </c>
      <c r="Y90" s="71">
        <v>143.1</v>
      </c>
      <c r="Z90" s="192" t="str">
        <f t="shared" si="4"/>
        <v>S</v>
      </c>
      <c r="AA90" s="66"/>
      <c r="AB90" s="66"/>
      <c r="AC90" s="66"/>
      <c r="AD90" s="172"/>
      <c r="AE90" s="172"/>
      <c r="AF90" s="172"/>
      <c r="AG90" s="172"/>
      <c r="AH90" s="172"/>
      <c r="AI90" s="172"/>
      <c r="AJ90" s="172"/>
      <c r="AK90" s="172"/>
      <c r="AL90" s="172"/>
    </row>
    <row r="91" spans="1:38" s="45" customFormat="1">
      <c r="A91" s="66"/>
      <c r="B91" s="73" t="s">
        <v>766</v>
      </c>
      <c r="C91" s="54">
        <v>2013</v>
      </c>
      <c r="D91" s="66"/>
      <c r="E91" s="56" t="s">
        <v>172</v>
      </c>
      <c r="F91" s="54">
        <v>2011</v>
      </c>
      <c r="G91" s="54" t="s">
        <v>631</v>
      </c>
      <c r="H91" s="66" t="s">
        <v>159</v>
      </c>
      <c r="I91" s="66" t="s">
        <v>1014</v>
      </c>
      <c r="J91" s="74" t="s">
        <v>1013</v>
      </c>
      <c r="K91" s="54" t="s">
        <v>1091</v>
      </c>
      <c r="L91" s="54" t="s">
        <v>978</v>
      </c>
      <c r="M91" s="66"/>
      <c r="N91" s="66"/>
      <c r="O91" s="66" t="s">
        <v>977</v>
      </c>
      <c r="P91" s="66"/>
      <c r="Q91" s="66"/>
      <c r="R91" s="66"/>
      <c r="S91" s="66"/>
      <c r="T91" s="66"/>
      <c r="U91" s="54">
        <v>0.876</v>
      </c>
      <c r="V91" s="66"/>
      <c r="W91" s="66"/>
      <c r="X91" s="66">
        <f t="shared" si="3"/>
        <v>0.876</v>
      </c>
      <c r="Y91" s="71">
        <v>142.69999999999999</v>
      </c>
      <c r="Z91" s="192" t="str">
        <f t="shared" si="4"/>
        <v>S</v>
      </c>
      <c r="AA91" s="66"/>
      <c r="AB91" s="66"/>
      <c r="AC91" s="66"/>
      <c r="AD91" s="172"/>
      <c r="AE91" s="172"/>
      <c r="AF91" s="172"/>
      <c r="AG91" s="172"/>
      <c r="AH91" s="172"/>
      <c r="AI91" s="172"/>
      <c r="AJ91" s="172"/>
      <c r="AK91" s="172"/>
      <c r="AL91" s="172"/>
    </row>
    <row r="92" spans="1:38" s="45" customFormat="1">
      <c r="A92" s="66"/>
      <c r="B92" s="73" t="s">
        <v>766</v>
      </c>
      <c r="C92" s="54">
        <v>2013</v>
      </c>
      <c r="D92" s="66"/>
      <c r="E92" s="56" t="s">
        <v>172</v>
      </c>
      <c r="F92" s="54">
        <v>2011</v>
      </c>
      <c r="G92" s="54" t="s">
        <v>631</v>
      </c>
      <c r="H92" s="66" t="s">
        <v>159</v>
      </c>
      <c r="I92" s="66" t="s">
        <v>1014</v>
      </c>
      <c r="J92" s="74" t="s">
        <v>1013</v>
      </c>
      <c r="K92" s="54" t="s">
        <v>1091</v>
      </c>
      <c r="L92" s="54" t="s">
        <v>974</v>
      </c>
      <c r="M92" s="66"/>
      <c r="N92" s="66"/>
      <c r="O92" s="66" t="s">
        <v>972</v>
      </c>
      <c r="P92" s="66"/>
      <c r="Q92" s="66"/>
      <c r="R92" s="66"/>
      <c r="S92" s="66"/>
      <c r="T92" s="66"/>
      <c r="U92" s="54">
        <v>0.875</v>
      </c>
      <c r="V92" s="66"/>
      <c r="W92" s="66"/>
      <c r="X92" s="66">
        <f t="shared" si="3"/>
        <v>0.875</v>
      </c>
      <c r="Y92" s="71">
        <v>144.80000000000001</v>
      </c>
      <c r="Z92" s="192" t="str">
        <f t="shared" si="4"/>
        <v>S</v>
      </c>
      <c r="AA92" s="66"/>
      <c r="AB92" s="66"/>
      <c r="AC92" s="66"/>
      <c r="AD92" s="172"/>
      <c r="AE92" s="172"/>
      <c r="AF92" s="172"/>
      <c r="AG92" s="172"/>
      <c r="AH92" s="172"/>
      <c r="AI92" s="172"/>
      <c r="AJ92" s="172"/>
      <c r="AK92" s="172"/>
      <c r="AL92" s="172"/>
    </row>
    <row r="93" spans="1:38" s="45" customFormat="1">
      <c r="A93" s="66"/>
      <c r="B93" s="73" t="s">
        <v>766</v>
      </c>
      <c r="C93" s="54">
        <v>2013</v>
      </c>
      <c r="D93" s="66"/>
      <c r="E93" s="56" t="s">
        <v>172</v>
      </c>
      <c r="F93" s="54">
        <v>2011</v>
      </c>
      <c r="G93" s="54" t="s">
        <v>631</v>
      </c>
      <c r="H93" s="66" t="s">
        <v>159</v>
      </c>
      <c r="I93" s="66" t="s">
        <v>1014</v>
      </c>
      <c r="J93" s="74" t="s">
        <v>1013</v>
      </c>
      <c r="K93" s="54" t="s">
        <v>1091</v>
      </c>
      <c r="L93" s="54" t="s">
        <v>978</v>
      </c>
      <c r="M93" s="66"/>
      <c r="N93" s="66"/>
      <c r="O93" s="66" t="s">
        <v>977</v>
      </c>
      <c r="P93" s="66"/>
      <c r="Q93" s="66"/>
      <c r="R93" s="66"/>
      <c r="S93" s="66"/>
      <c r="T93" s="66"/>
      <c r="U93" s="54">
        <v>0.875</v>
      </c>
      <c r="V93" s="66"/>
      <c r="W93" s="66"/>
      <c r="X93" s="66">
        <f t="shared" si="3"/>
        <v>0.875</v>
      </c>
      <c r="Y93" s="71">
        <v>144</v>
      </c>
      <c r="Z93" s="192" t="str">
        <f t="shared" si="4"/>
        <v>S</v>
      </c>
      <c r="AA93" s="66"/>
      <c r="AB93" s="66"/>
      <c r="AC93" s="66"/>
      <c r="AD93" s="172"/>
      <c r="AE93" s="172"/>
      <c r="AF93" s="172"/>
      <c r="AG93" s="172"/>
      <c r="AH93" s="172"/>
      <c r="AI93" s="172"/>
      <c r="AJ93" s="172"/>
      <c r="AK93" s="172"/>
      <c r="AL93" s="172"/>
    </row>
    <row r="94" spans="1:38" s="45" customFormat="1">
      <c r="A94" s="66"/>
      <c r="B94" s="73" t="s">
        <v>766</v>
      </c>
      <c r="C94" s="54">
        <v>2013</v>
      </c>
      <c r="D94" s="66"/>
      <c r="E94" s="56" t="s">
        <v>172</v>
      </c>
      <c r="F94" s="54">
        <v>2011</v>
      </c>
      <c r="G94" s="54" t="s">
        <v>631</v>
      </c>
      <c r="H94" s="66" t="s">
        <v>159</v>
      </c>
      <c r="I94" s="66" t="s">
        <v>1014</v>
      </c>
      <c r="J94" s="74" t="s">
        <v>1013</v>
      </c>
      <c r="K94" s="54" t="s">
        <v>1091</v>
      </c>
      <c r="L94" s="54" t="s">
        <v>974</v>
      </c>
      <c r="M94" s="66"/>
      <c r="N94" s="66"/>
      <c r="O94" s="66" t="s">
        <v>972</v>
      </c>
      <c r="P94" s="66"/>
      <c r="Q94" s="66"/>
      <c r="R94" s="66"/>
      <c r="S94" s="66"/>
      <c r="T94" s="66"/>
      <c r="U94" s="54">
        <v>0.875</v>
      </c>
      <c r="V94" s="66"/>
      <c r="W94" s="66"/>
      <c r="X94" s="66">
        <f t="shared" si="3"/>
        <v>0.875</v>
      </c>
      <c r="Y94" s="71">
        <v>143.80000000000001</v>
      </c>
      <c r="Z94" s="192" t="str">
        <f t="shared" si="4"/>
        <v>S</v>
      </c>
      <c r="AA94" s="66"/>
      <c r="AB94" s="66"/>
      <c r="AC94" s="66"/>
      <c r="AD94" s="172"/>
      <c r="AE94" s="172"/>
      <c r="AF94" s="172"/>
      <c r="AG94" s="172"/>
      <c r="AH94" s="172"/>
      <c r="AI94" s="172"/>
      <c r="AJ94" s="172"/>
      <c r="AK94" s="172"/>
      <c r="AL94" s="172"/>
    </row>
    <row r="95" spans="1:38" s="45" customFormat="1">
      <c r="A95" s="66"/>
      <c r="B95" s="73" t="s">
        <v>766</v>
      </c>
      <c r="C95" s="54">
        <v>2013</v>
      </c>
      <c r="D95" s="66"/>
      <c r="E95" s="56" t="s">
        <v>172</v>
      </c>
      <c r="F95" s="54">
        <v>2011</v>
      </c>
      <c r="G95" s="54" t="s">
        <v>631</v>
      </c>
      <c r="H95" s="66" t="s">
        <v>159</v>
      </c>
      <c r="I95" s="66" t="s">
        <v>1014</v>
      </c>
      <c r="J95" s="74" t="s">
        <v>1013</v>
      </c>
      <c r="K95" s="54" t="s">
        <v>1091</v>
      </c>
      <c r="L95" s="54" t="s">
        <v>978</v>
      </c>
      <c r="M95" s="66"/>
      <c r="N95" s="66"/>
      <c r="O95" s="66" t="s">
        <v>977</v>
      </c>
      <c r="P95" s="66"/>
      <c r="Q95" s="66"/>
      <c r="R95" s="66"/>
      <c r="S95" s="66"/>
      <c r="T95" s="66"/>
      <c r="U95" s="54">
        <v>0.873</v>
      </c>
      <c r="V95" s="66"/>
      <c r="W95" s="66"/>
      <c r="X95" s="66">
        <f t="shared" si="3"/>
        <v>0.873</v>
      </c>
      <c r="Y95" s="71">
        <v>147.1</v>
      </c>
      <c r="Z95" s="192" t="str">
        <f t="shared" si="4"/>
        <v>S</v>
      </c>
      <c r="AA95" s="66"/>
      <c r="AB95" s="66"/>
      <c r="AC95" s="66"/>
      <c r="AD95" s="172"/>
      <c r="AE95" s="172"/>
      <c r="AF95" s="172"/>
      <c r="AG95" s="172"/>
      <c r="AH95" s="172"/>
      <c r="AI95" s="172"/>
      <c r="AJ95" s="172"/>
      <c r="AK95" s="172"/>
      <c r="AL95" s="172"/>
    </row>
    <row r="96" spans="1:38" s="45" customFormat="1">
      <c r="A96" s="66"/>
      <c r="B96" s="73" t="s">
        <v>766</v>
      </c>
      <c r="C96" s="54">
        <v>2013</v>
      </c>
      <c r="D96" s="66"/>
      <c r="E96" s="56" t="s">
        <v>172</v>
      </c>
      <c r="F96" s="54">
        <v>2011</v>
      </c>
      <c r="G96" s="54" t="s">
        <v>631</v>
      </c>
      <c r="H96" s="66" t="s">
        <v>159</v>
      </c>
      <c r="I96" s="66" t="s">
        <v>1014</v>
      </c>
      <c r="J96" s="74" t="s">
        <v>1013</v>
      </c>
      <c r="K96" s="54" t="s">
        <v>1091</v>
      </c>
      <c r="L96" s="54" t="s">
        <v>974</v>
      </c>
      <c r="M96" s="66"/>
      <c r="N96" s="66"/>
      <c r="O96" s="66" t="s">
        <v>972</v>
      </c>
      <c r="P96" s="66"/>
      <c r="Q96" s="66"/>
      <c r="R96" s="66"/>
      <c r="S96" s="66"/>
      <c r="T96" s="66"/>
      <c r="U96" s="54">
        <v>0.871</v>
      </c>
      <c r="V96" s="66"/>
      <c r="W96" s="66"/>
      <c r="X96" s="66">
        <f t="shared" si="3"/>
        <v>0.871</v>
      </c>
      <c r="Y96" s="71">
        <v>149</v>
      </c>
      <c r="Z96" s="192" t="str">
        <f t="shared" si="4"/>
        <v>S</v>
      </c>
      <c r="AA96" s="66"/>
      <c r="AB96" s="66"/>
      <c r="AC96" s="66"/>
      <c r="AD96" s="172"/>
      <c r="AE96" s="172"/>
      <c r="AF96" s="172"/>
      <c r="AG96" s="172"/>
      <c r="AH96" s="172"/>
      <c r="AI96" s="172"/>
      <c r="AJ96" s="172"/>
      <c r="AK96" s="172"/>
      <c r="AL96" s="172"/>
    </row>
    <row r="97" spans="1:38" s="45" customFormat="1">
      <c r="A97" s="66"/>
      <c r="B97" s="73" t="s">
        <v>766</v>
      </c>
      <c r="C97" s="54">
        <v>2013</v>
      </c>
      <c r="D97" s="66"/>
      <c r="E97" s="56" t="s">
        <v>172</v>
      </c>
      <c r="F97" s="54">
        <v>2011</v>
      </c>
      <c r="G97" s="54" t="s">
        <v>631</v>
      </c>
      <c r="H97" s="66" t="s">
        <v>159</v>
      </c>
      <c r="I97" s="66" t="s">
        <v>1014</v>
      </c>
      <c r="J97" s="74" t="s">
        <v>1013</v>
      </c>
      <c r="K97" s="54" t="s">
        <v>1091</v>
      </c>
      <c r="L97" s="54" t="s">
        <v>978</v>
      </c>
      <c r="M97" s="66"/>
      <c r="N97" s="66"/>
      <c r="O97" s="66" t="s">
        <v>977</v>
      </c>
      <c r="P97" s="66"/>
      <c r="Q97" s="66"/>
      <c r="R97" s="66"/>
      <c r="S97" s="66"/>
      <c r="T97" s="66"/>
      <c r="U97" s="54">
        <v>0.871</v>
      </c>
      <c r="V97" s="66"/>
      <c r="W97" s="66"/>
      <c r="X97" s="66">
        <f t="shared" si="3"/>
        <v>0.871</v>
      </c>
      <c r="Y97" s="71">
        <v>149</v>
      </c>
      <c r="Z97" s="192" t="str">
        <f t="shared" si="4"/>
        <v>S</v>
      </c>
      <c r="AA97" s="66"/>
      <c r="AB97" s="66"/>
      <c r="AC97" s="66"/>
      <c r="AD97" s="172"/>
      <c r="AE97" s="172"/>
      <c r="AF97" s="172"/>
      <c r="AG97" s="172"/>
      <c r="AH97" s="172"/>
      <c r="AI97" s="172"/>
      <c r="AJ97" s="172"/>
      <c r="AK97" s="172"/>
      <c r="AL97" s="172"/>
    </row>
    <row r="98" spans="1:38" s="45" customFormat="1">
      <c r="A98" s="66"/>
      <c r="B98" s="73" t="s">
        <v>766</v>
      </c>
      <c r="C98" s="54">
        <v>2013</v>
      </c>
      <c r="D98" s="66"/>
      <c r="E98" s="56" t="s">
        <v>172</v>
      </c>
      <c r="F98" s="54">
        <v>2011</v>
      </c>
      <c r="G98" s="54" t="s">
        <v>631</v>
      </c>
      <c r="H98" s="66" t="s">
        <v>159</v>
      </c>
      <c r="I98" s="66" t="s">
        <v>1014</v>
      </c>
      <c r="J98" s="74" t="s">
        <v>1013</v>
      </c>
      <c r="K98" s="54" t="s">
        <v>1091</v>
      </c>
      <c r="L98" s="54" t="s">
        <v>974</v>
      </c>
      <c r="M98" s="66"/>
      <c r="N98" s="66"/>
      <c r="O98" s="66" t="s">
        <v>972</v>
      </c>
      <c r="P98" s="66"/>
      <c r="Q98" s="66"/>
      <c r="R98" s="66"/>
      <c r="S98" s="66"/>
      <c r="T98" s="66"/>
      <c r="U98" s="54">
        <v>0.86899999999999999</v>
      </c>
      <c r="V98" s="66"/>
      <c r="W98" s="66"/>
      <c r="X98" s="66">
        <f t="shared" si="3"/>
        <v>0.86899999999999999</v>
      </c>
      <c r="Y98" s="71">
        <v>150.9</v>
      </c>
      <c r="Z98" s="192" t="str">
        <f t="shared" si="4"/>
        <v>S</v>
      </c>
      <c r="AA98" s="66"/>
      <c r="AB98" s="66"/>
      <c r="AC98" s="66"/>
      <c r="AD98" s="172"/>
      <c r="AE98" s="172"/>
      <c r="AF98" s="172"/>
      <c r="AG98" s="172"/>
      <c r="AH98" s="172"/>
      <c r="AI98" s="172"/>
      <c r="AJ98" s="172"/>
      <c r="AK98" s="172"/>
      <c r="AL98" s="172"/>
    </row>
    <row r="99" spans="1:38" s="45" customFormat="1">
      <c r="A99" s="66"/>
      <c r="B99" s="73" t="s">
        <v>766</v>
      </c>
      <c r="C99" s="54">
        <v>2013</v>
      </c>
      <c r="D99" s="66"/>
      <c r="E99" s="56" t="s">
        <v>172</v>
      </c>
      <c r="F99" s="54">
        <v>2011</v>
      </c>
      <c r="G99" s="54" t="s">
        <v>631</v>
      </c>
      <c r="H99" s="66" t="s">
        <v>159</v>
      </c>
      <c r="I99" s="66" t="s">
        <v>1014</v>
      </c>
      <c r="J99" s="74" t="s">
        <v>1013</v>
      </c>
      <c r="K99" s="54" t="s">
        <v>1091</v>
      </c>
      <c r="L99" s="54" t="s">
        <v>978</v>
      </c>
      <c r="M99" s="66"/>
      <c r="N99" s="66"/>
      <c r="O99" s="66" t="s">
        <v>977</v>
      </c>
      <c r="P99" s="66"/>
      <c r="Q99" s="66"/>
      <c r="R99" s="66"/>
      <c r="S99" s="66"/>
      <c r="T99" s="66"/>
      <c r="U99" s="54">
        <v>0.86899999999999999</v>
      </c>
      <c r="V99" s="66"/>
      <c r="W99" s="66"/>
      <c r="X99" s="66">
        <f t="shared" si="3"/>
        <v>0.86899999999999999</v>
      </c>
      <c r="Y99" s="71">
        <v>150.80000000000001</v>
      </c>
      <c r="Z99" s="192" t="str">
        <f t="shared" si="4"/>
        <v>S</v>
      </c>
      <c r="AA99" s="66"/>
      <c r="AB99" s="66"/>
      <c r="AC99" s="66"/>
      <c r="AD99" s="172"/>
      <c r="AE99" s="172"/>
      <c r="AF99" s="172"/>
      <c r="AG99" s="172"/>
      <c r="AH99" s="172"/>
      <c r="AI99" s="172"/>
      <c r="AJ99" s="172"/>
      <c r="AK99" s="172"/>
      <c r="AL99" s="172"/>
    </row>
    <row r="100" spans="1:38" s="45" customFormat="1">
      <c r="A100" s="66"/>
      <c r="B100" s="73" t="s">
        <v>766</v>
      </c>
      <c r="C100" s="54">
        <v>2013</v>
      </c>
      <c r="D100" s="66"/>
      <c r="E100" s="56" t="s">
        <v>172</v>
      </c>
      <c r="F100" s="54">
        <v>2011</v>
      </c>
      <c r="G100" s="54" t="s">
        <v>631</v>
      </c>
      <c r="H100" s="66" t="s">
        <v>159</v>
      </c>
      <c r="I100" s="66" t="s">
        <v>1014</v>
      </c>
      <c r="J100" s="74" t="s">
        <v>1013</v>
      </c>
      <c r="K100" s="54" t="s">
        <v>1091</v>
      </c>
      <c r="L100" s="54" t="s">
        <v>978</v>
      </c>
      <c r="M100" s="66"/>
      <c r="N100" s="66"/>
      <c r="O100" s="66" t="s">
        <v>977</v>
      </c>
      <c r="P100" s="66"/>
      <c r="Q100" s="66"/>
      <c r="R100" s="66"/>
      <c r="S100" s="66"/>
      <c r="T100" s="66"/>
      <c r="U100" s="54">
        <v>0.86599999999999999</v>
      </c>
      <c r="V100" s="66"/>
      <c r="W100" s="66"/>
      <c r="X100" s="66">
        <f t="shared" si="3"/>
        <v>0.86599999999999999</v>
      </c>
      <c r="Y100" s="71">
        <v>154.6</v>
      </c>
      <c r="Z100" s="192" t="str">
        <f t="shared" ref="Z100:Z131" si="5">IF(X100&lt;&gt;"",IF(X100&lt;0.9,"S","F"),"")</f>
        <v>S</v>
      </c>
      <c r="AA100" s="66"/>
      <c r="AB100" s="66"/>
      <c r="AC100" s="66"/>
      <c r="AD100" s="172"/>
      <c r="AE100" s="172"/>
      <c r="AF100" s="172"/>
      <c r="AG100" s="172"/>
      <c r="AH100" s="172"/>
      <c r="AI100" s="172"/>
      <c r="AJ100" s="172"/>
      <c r="AK100" s="172"/>
      <c r="AL100" s="172"/>
    </row>
    <row r="101" spans="1:38" s="45" customFormat="1">
      <c r="A101" s="66"/>
      <c r="B101" s="73" t="s">
        <v>766</v>
      </c>
      <c r="C101" s="54">
        <v>2013</v>
      </c>
      <c r="D101" s="66"/>
      <c r="E101" s="56" t="s">
        <v>172</v>
      </c>
      <c r="F101" s="54">
        <v>2011</v>
      </c>
      <c r="G101" s="54" t="s">
        <v>631</v>
      </c>
      <c r="H101" s="66" t="s">
        <v>159</v>
      </c>
      <c r="I101" s="66" t="s">
        <v>1014</v>
      </c>
      <c r="J101" s="74" t="s">
        <v>1013</v>
      </c>
      <c r="K101" s="54" t="s">
        <v>1091</v>
      </c>
      <c r="L101" s="54" t="s">
        <v>975</v>
      </c>
      <c r="M101" s="66"/>
      <c r="N101" s="66"/>
      <c r="O101" s="66" t="s">
        <v>976</v>
      </c>
      <c r="P101" s="66"/>
      <c r="Q101" s="66"/>
      <c r="R101" s="66"/>
      <c r="S101" s="66"/>
      <c r="T101" s="66"/>
      <c r="U101" s="54">
        <v>0.86599999999999999</v>
      </c>
      <c r="V101" s="66"/>
      <c r="W101" s="66"/>
      <c r="X101" s="66">
        <f t="shared" si="3"/>
        <v>0.86599999999999999</v>
      </c>
      <c r="Y101" s="71">
        <v>154.19999999999999</v>
      </c>
      <c r="Z101" s="192" t="str">
        <f t="shared" si="5"/>
        <v>S</v>
      </c>
      <c r="AA101" s="66"/>
      <c r="AB101" s="66"/>
      <c r="AC101" s="66"/>
      <c r="AD101" s="172"/>
      <c r="AE101" s="172"/>
      <c r="AF101" s="172"/>
      <c r="AG101" s="172"/>
      <c r="AH101" s="172"/>
      <c r="AI101" s="172"/>
      <c r="AJ101" s="172"/>
      <c r="AK101" s="172"/>
      <c r="AL101" s="172"/>
    </row>
    <row r="102" spans="1:38" s="45" customFormat="1">
      <c r="A102" s="66"/>
      <c r="B102" s="73" t="s">
        <v>766</v>
      </c>
      <c r="C102" s="54">
        <v>2013</v>
      </c>
      <c r="D102" s="66"/>
      <c r="E102" s="56" t="s">
        <v>172</v>
      </c>
      <c r="F102" s="54">
        <v>2011</v>
      </c>
      <c r="G102" s="54" t="s">
        <v>631</v>
      </c>
      <c r="H102" s="66" t="s">
        <v>159</v>
      </c>
      <c r="I102" s="66" t="s">
        <v>1014</v>
      </c>
      <c r="J102" s="74" t="s">
        <v>1013</v>
      </c>
      <c r="K102" s="54" t="s">
        <v>1091</v>
      </c>
      <c r="L102" s="54" t="s">
        <v>978</v>
      </c>
      <c r="M102" s="66"/>
      <c r="N102" s="66"/>
      <c r="O102" s="66" t="s">
        <v>977</v>
      </c>
      <c r="P102" s="66"/>
      <c r="Q102" s="66"/>
      <c r="R102" s="66"/>
      <c r="S102" s="66"/>
      <c r="T102" s="66"/>
      <c r="U102" s="54">
        <v>0.86499999999999999</v>
      </c>
      <c r="V102" s="66"/>
      <c r="W102" s="66"/>
      <c r="X102" s="66">
        <f t="shared" si="3"/>
        <v>0.86499999999999999</v>
      </c>
      <c r="Y102" s="71">
        <v>155.1</v>
      </c>
      <c r="Z102" s="192" t="str">
        <f t="shared" si="5"/>
        <v>S</v>
      </c>
      <c r="AA102" s="66"/>
      <c r="AB102" s="66"/>
      <c r="AC102" s="66"/>
      <c r="AD102" s="172"/>
      <c r="AE102" s="172"/>
      <c r="AF102" s="172"/>
      <c r="AG102" s="172"/>
      <c r="AH102" s="172"/>
      <c r="AI102" s="172"/>
      <c r="AJ102" s="172"/>
      <c r="AK102" s="172"/>
      <c r="AL102" s="172"/>
    </row>
    <row r="103" spans="1:38" s="45" customFormat="1">
      <c r="A103" s="66"/>
      <c r="B103" s="73" t="s">
        <v>766</v>
      </c>
      <c r="C103" s="54">
        <v>2013</v>
      </c>
      <c r="D103" s="66"/>
      <c r="E103" s="56" t="s">
        <v>172</v>
      </c>
      <c r="F103" s="54">
        <v>2011</v>
      </c>
      <c r="G103" s="54" t="s">
        <v>631</v>
      </c>
      <c r="H103" s="66" t="s">
        <v>159</v>
      </c>
      <c r="I103" s="66" t="s">
        <v>1014</v>
      </c>
      <c r="J103" s="74" t="s">
        <v>1013</v>
      </c>
      <c r="K103" s="54" t="s">
        <v>1091</v>
      </c>
      <c r="L103" s="54" t="s">
        <v>978</v>
      </c>
      <c r="M103" s="66"/>
      <c r="N103" s="66"/>
      <c r="O103" s="66" t="s">
        <v>977</v>
      </c>
      <c r="P103" s="66"/>
      <c r="Q103" s="66"/>
      <c r="R103" s="66"/>
      <c r="S103" s="66"/>
      <c r="T103" s="66"/>
      <c r="U103" s="54">
        <v>0.86399999999999999</v>
      </c>
      <c r="V103" s="66"/>
      <c r="W103" s="66"/>
      <c r="X103" s="66">
        <f t="shared" si="3"/>
        <v>0.86399999999999999</v>
      </c>
      <c r="Y103" s="71">
        <v>157</v>
      </c>
      <c r="Z103" s="192" t="str">
        <f t="shared" si="5"/>
        <v>S</v>
      </c>
      <c r="AA103" s="66"/>
      <c r="AB103" s="66"/>
      <c r="AC103" s="66"/>
      <c r="AD103" s="172"/>
      <c r="AE103" s="172"/>
      <c r="AF103" s="172"/>
      <c r="AG103" s="172"/>
      <c r="AH103" s="172"/>
      <c r="AI103" s="172"/>
      <c r="AJ103" s="172"/>
      <c r="AK103" s="172"/>
      <c r="AL103" s="172"/>
    </row>
    <row r="104" spans="1:38" s="45" customFormat="1">
      <c r="A104" s="66"/>
      <c r="B104" s="73" t="s">
        <v>766</v>
      </c>
      <c r="C104" s="54">
        <v>2013</v>
      </c>
      <c r="D104" s="66"/>
      <c r="E104" s="56" t="s">
        <v>172</v>
      </c>
      <c r="F104" s="54">
        <v>2011</v>
      </c>
      <c r="G104" s="54" t="s">
        <v>631</v>
      </c>
      <c r="H104" s="66" t="s">
        <v>159</v>
      </c>
      <c r="I104" s="66" t="s">
        <v>1014</v>
      </c>
      <c r="J104" s="74" t="s">
        <v>1013</v>
      </c>
      <c r="K104" s="54" t="s">
        <v>1091</v>
      </c>
      <c r="L104" s="54" t="s">
        <v>978</v>
      </c>
      <c r="M104" s="66"/>
      <c r="N104" s="66"/>
      <c r="O104" s="66" t="s">
        <v>977</v>
      </c>
      <c r="P104" s="66"/>
      <c r="Q104" s="66"/>
      <c r="R104" s="66"/>
      <c r="S104" s="66"/>
      <c r="T104" s="66"/>
      <c r="U104" s="54">
        <v>0.86299999999999999</v>
      </c>
      <c r="V104" s="66"/>
      <c r="W104" s="66"/>
      <c r="X104" s="66">
        <f t="shared" si="3"/>
        <v>0.86299999999999999</v>
      </c>
      <c r="Y104" s="71">
        <v>158.4</v>
      </c>
      <c r="Z104" s="192" t="str">
        <f t="shared" si="5"/>
        <v>S</v>
      </c>
      <c r="AA104" s="66"/>
      <c r="AB104" s="66"/>
      <c r="AC104" s="66"/>
      <c r="AD104" s="172"/>
      <c r="AE104" s="172"/>
      <c r="AF104" s="172"/>
      <c r="AG104" s="172"/>
      <c r="AH104" s="172"/>
      <c r="AI104" s="172"/>
      <c r="AJ104" s="172"/>
      <c r="AK104" s="172"/>
      <c r="AL104" s="172"/>
    </row>
    <row r="105" spans="1:38" s="49" customFormat="1">
      <c r="A105" s="66"/>
      <c r="B105" s="73" t="s">
        <v>766</v>
      </c>
      <c r="C105" s="54">
        <v>2013</v>
      </c>
      <c r="D105" s="66"/>
      <c r="E105" s="56" t="s">
        <v>172</v>
      </c>
      <c r="F105" s="54">
        <v>2011</v>
      </c>
      <c r="G105" s="54" t="s">
        <v>631</v>
      </c>
      <c r="H105" s="66" t="s">
        <v>159</v>
      </c>
      <c r="I105" s="66" t="s">
        <v>1014</v>
      </c>
      <c r="J105" s="74" t="s">
        <v>1013</v>
      </c>
      <c r="K105" s="54" t="s">
        <v>1091</v>
      </c>
      <c r="L105" s="54" t="s">
        <v>978</v>
      </c>
      <c r="M105" s="66"/>
      <c r="N105" s="66"/>
      <c r="O105" s="66" t="s">
        <v>977</v>
      </c>
      <c r="P105" s="66"/>
      <c r="Q105" s="66"/>
      <c r="R105" s="66"/>
      <c r="S105" s="66"/>
      <c r="T105" s="66"/>
      <c r="U105" s="54">
        <v>0.86299999999999999</v>
      </c>
      <c r="V105" s="66"/>
      <c r="W105" s="66"/>
      <c r="X105" s="66">
        <f t="shared" si="3"/>
        <v>0.86299999999999999</v>
      </c>
      <c r="Y105" s="71">
        <v>158.30000000000001</v>
      </c>
      <c r="Z105" s="192" t="str">
        <f t="shared" si="5"/>
        <v>S</v>
      </c>
      <c r="AA105" s="66"/>
      <c r="AB105" s="66"/>
      <c r="AC105" s="66"/>
      <c r="AD105" s="172"/>
      <c r="AE105" s="172"/>
      <c r="AF105" s="172"/>
      <c r="AG105" s="172"/>
      <c r="AH105" s="172"/>
      <c r="AI105" s="172"/>
      <c r="AJ105" s="172"/>
      <c r="AK105" s="172"/>
      <c r="AL105" s="172"/>
    </row>
    <row r="106" spans="1:38" s="49" customFormat="1">
      <c r="A106" s="66"/>
      <c r="B106" s="73" t="s">
        <v>766</v>
      </c>
      <c r="C106" s="54">
        <v>2013</v>
      </c>
      <c r="D106" s="66"/>
      <c r="E106" s="56" t="s">
        <v>172</v>
      </c>
      <c r="F106" s="54">
        <v>2011</v>
      </c>
      <c r="G106" s="54" t="s">
        <v>631</v>
      </c>
      <c r="H106" s="66" t="s">
        <v>159</v>
      </c>
      <c r="I106" s="66" t="s">
        <v>1014</v>
      </c>
      <c r="J106" s="74" t="s">
        <v>1013</v>
      </c>
      <c r="K106" s="54" t="s">
        <v>1091</v>
      </c>
      <c r="L106" s="54" t="s">
        <v>974</v>
      </c>
      <c r="M106" s="66"/>
      <c r="N106" s="66"/>
      <c r="O106" s="66" t="s">
        <v>972</v>
      </c>
      <c r="P106" s="66"/>
      <c r="Q106" s="66"/>
      <c r="R106" s="66"/>
      <c r="S106" s="66"/>
      <c r="T106" s="66"/>
      <c r="U106" s="54">
        <v>0.84899999999999998</v>
      </c>
      <c r="V106" s="66"/>
      <c r="W106" s="66"/>
      <c r="X106" s="66">
        <f t="shared" si="3"/>
        <v>0.84899999999999998</v>
      </c>
      <c r="Y106" s="71">
        <v>173</v>
      </c>
      <c r="Z106" s="192" t="str">
        <f t="shared" si="5"/>
        <v>S</v>
      </c>
      <c r="AA106" s="66"/>
      <c r="AB106" s="66"/>
      <c r="AC106" s="66"/>
      <c r="AD106" s="172"/>
      <c r="AE106" s="172"/>
      <c r="AF106" s="172"/>
      <c r="AG106" s="172"/>
      <c r="AH106" s="172"/>
      <c r="AI106" s="172"/>
      <c r="AJ106" s="172"/>
      <c r="AK106" s="172"/>
      <c r="AL106" s="172"/>
    </row>
    <row r="107" spans="1:38" s="49" customFormat="1">
      <c r="A107" s="66"/>
      <c r="B107" s="73" t="s">
        <v>766</v>
      </c>
      <c r="C107" s="54">
        <v>2013</v>
      </c>
      <c r="D107" s="66"/>
      <c r="E107" s="56" t="s">
        <v>172</v>
      </c>
      <c r="F107" s="54">
        <v>2011</v>
      </c>
      <c r="G107" s="54" t="s">
        <v>631</v>
      </c>
      <c r="H107" s="66" t="s">
        <v>159</v>
      </c>
      <c r="I107" s="66" t="s">
        <v>1014</v>
      </c>
      <c r="J107" s="74" t="s">
        <v>1013</v>
      </c>
      <c r="K107" s="54" t="s">
        <v>1091</v>
      </c>
      <c r="L107" s="54" t="s">
        <v>974</v>
      </c>
      <c r="M107" s="66"/>
      <c r="N107" s="66"/>
      <c r="O107" s="66" t="s">
        <v>972</v>
      </c>
      <c r="P107" s="66"/>
      <c r="Q107" s="66"/>
      <c r="R107" s="66"/>
      <c r="S107" s="66"/>
      <c r="T107" s="66"/>
      <c r="U107" s="54">
        <v>0.84499999999999997</v>
      </c>
      <c r="V107" s="66"/>
      <c r="W107" s="66"/>
      <c r="X107" s="66">
        <f t="shared" si="3"/>
        <v>0.84499999999999997</v>
      </c>
      <c r="Y107" s="71">
        <v>178.7</v>
      </c>
      <c r="Z107" s="192" t="str">
        <f t="shared" si="5"/>
        <v>S</v>
      </c>
      <c r="AA107" s="66"/>
      <c r="AH107" s="172"/>
      <c r="AI107" s="172"/>
      <c r="AJ107" s="172"/>
      <c r="AK107" s="172"/>
      <c r="AL107" s="172"/>
    </row>
    <row r="108" spans="1:38" s="118" customFormat="1">
      <c r="A108" s="97">
        <v>103</v>
      </c>
      <c r="B108" s="103" t="s">
        <v>311</v>
      </c>
      <c r="C108" s="103">
        <v>1994</v>
      </c>
      <c r="D108" s="103" t="s">
        <v>312</v>
      </c>
      <c r="E108" s="99" t="s">
        <v>20</v>
      </c>
      <c r="F108" s="98">
        <v>1995</v>
      </c>
      <c r="G108" s="98"/>
      <c r="H108" s="98"/>
      <c r="I108" s="98"/>
      <c r="J108" s="98" t="s">
        <v>1013</v>
      </c>
      <c r="K108" s="98" t="s">
        <v>1096</v>
      </c>
      <c r="L108" s="98" t="s">
        <v>315</v>
      </c>
      <c r="M108" s="98" t="s">
        <v>316</v>
      </c>
      <c r="N108" s="98"/>
      <c r="O108" s="98" t="s">
        <v>317</v>
      </c>
      <c r="P108" s="98"/>
      <c r="Q108" s="98"/>
      <c r="R108" s="98"/>
      <c r="S108" s="98"/>
      <c r="T108" s="98"/>
      <c r="U108" s="98"/>
      <c r="V108" s="98"/>
      <c r="W108" s="98"/>
      <c r="X108" s="101" t="str">
        <f t="shared" si="3"/>
        <v/>
      </c>
      <c r="Y108" s="122">
        <v>150</v>
      </c>
      <c r="Z108" s="106" t="str">
        <f t="shared" si="5"/>
        <v/>
      </c>
      <c r="AA108" s="188"/>
      <c r="AB108" s="188" t="s">
        <v>1206</v>
      </c>
      <c r="AC108" s="188" t="s">
        <v>1207</v>
      </c>
      <c r="AD108" s="188" t="s">
        <v>1208</v>
      </c>
      <c r="AE108" s="188" t="s">
        <v>1209</v>
      </c>
      <c r="AF108" s="188" t="s">
        <v>1210</v>
      </c>
      <c r="AG108" s="188" t="s">
        <v>1211</v>
      </c>
      <c r="AH108" s="174"/>
      <c r="AI108" s="174"/>
      <c r="AJ108" s="174"/>
      <c r="AK108" s="174"/>
      <c r="AL108" s="174"/>
    </row>
    <row r="109" spans="1:38" s="118" customFormat="1">
      <c r="A109" s="97">
        <v>118</v>
      </c>
      <c r="B109" s="123" t="s">
        <v>399</v>
      </c>
      <c r="C109" s="98">
        <v>1999</v>
      </c>
      <c r="D109" s="123" t="s">
        <v>400</v>
      </c>
      <c r="E109" s="99" t="s">
        <v>20</v>
      </c>
      <c r="F109" s="98">
        <v>1999</v>
      </c>
      <c r="G109" s="98" t="s">
        <v>326</v>
      </c>
      <c r="H109" s="98" t="s">
        <v>159</v>
      </c>
      <c r="I109" s="98"/>
      <c r="J109" s="101" t="s">
        <v>1013</v>
      </c>
      <c r="K109" s="98" t="s">
        <v>1056</v>
      </c>
      <c r="L109" s="98" t="s">
        <v>406</v>
      </c>
      <c r="M109" s="98"/>
      <c r="N109" s="98"/>
      <c r="O109" s="98">
        <v>4</v>
      </c>
      <c r="P109" s="98"/>
      <c r="Q109" s="98"/>
      <c r="R109" s="98"/>
      <c r="S109" s="98"/>
      <c r="T109" s="98"/>
      <c r="U109" s="98">
        <v>0.98</v>
      </c>
      <c r="V109" s="98"/>
      <c r="W109" s="98"/>
      <c r="X109" s="101">
        <f t="shared" si="3"/>
        <v>0.98</v>
      </c>
      <c r="Y109" s="122">
        <v>26.8</v>
      </c>
      <c r="Z109" s="106" t="str">
        <f t="shared" si="5"/>
        <v>F</v>
      </c>
      <c r="AA109" s="243" t="s">
        <v>1321</v>
      </c>
      <c r="AB109" s="191">
        <f>AVERAGE($Y$109:$Y$135)</f>
        <v>74.287002512962971</v>
      </c>
      <c r="AC109" s="191">
        <f>MEDIAN($Y$109:$Y$135)</f>
        <v>86.757514450000002</v>
      </c>
      <c r="AD109" s="191">
        <f>MAX($Y$109:$Y$135)</f>
        <v>107.0830895</v>
      </c>
      <c r="AE109" s="191">
        <f>MIN($Y$109:$Y$135)</f>
        <v>15.1</v>
      </c>
      <c r="AF109" s="191">
        <f>STDEV($Y$109:$Y$135)</f>
        <v>28.63889792287409</v>
      </c>
      <c r="AG109" s="190">
        <f>COUNT($Y$109:$Y$135)</f>
        <v>27</v>
      </c>
      <c r="AH109" s="174"/>
      <c r="AI109" s="174"/>
      <c r="AJ109" s="174"/>
      <c r="AK109" s="174"/>
      <c r="AL109" s="174"/>
    </row>
    <row r="110" spans="1:38" s="118" customFormat="1">
      <c r="A110" s="97">
        <v>197</v>
      </c>
      <c r="B110" s="123" t="s">
        <v>875</v>
      </c>
      <c r="C110" s="98">
        <v>2007</v>
      </c>
      <c r="D110" s="123" t="s">
        <v>928</v>
      </c>
      <c r="E110" s="99" t="s">
        <v>20</v>
      </c>
      <c r="F110" s="98">
        <v>2003</v>
      </c>
      <c r="G110" s="98" t="s">
        <v>326</v>
      </c>
      <c r="H110" s="98" t="s">
        <v>159</v>
      </c>
      <c r="I110" s="98"/>
      <c r="J110" s="101" t="s">
        <v>1013</v>
      </c>
      <c r="K110" s="98" t="s">
        <v>1111</v>
      </c>
      <c r="L110" s="98" t="s">
        <v>315</v>
      </c>
      <c r="M110" s="98"/>
      <c r="N110" s="98"/>
      <c r="O110" s="98" t="s">
        <v>930</v>
      </c>
      <c r="P110" s="98">
        <v>0.98</v>
      </c>
      <c r="Q110" s="101"/>
      <c r="R110" s="101">
        <f>+P110</f>
        <v>0.98</v>
      </c>
      <c r="S110" s="101"/>
      <c r="T110" s="101"/>
      <c r="U110" s="101"/>
      <c r="V110" s="98">
        <v>15.1</v>
      </c>
      <c r="W110" s="101"/>
      <c r="X110" s="101">
        <f t="shared" si="3"/>
        <v>0.98</v>
      </c>
      <c r="Y110" s="304">
        <f>+V110</f>
        <v>15.1</v>
      </c>
      <c r="Z110" s="106" t="str">
        <f t="shared" si="5"/>
        <v>F</v>
      </c>
      <c r="AA110" s="243" t="s">
        <v>1322</v>
      </c>
      <c r="AB110" s="191">
        <f>AVERAGE($Y$136:$Y$144)</f>
        <v>110.99358617777779</v>
      </c>
      <c r="AC110" s="191">
        <f>MEDIAN($Y$136:$Y$144)</f>
        <v>122</v>
      </c>
      <c r="AD110" s="191">
        <f>MAX($Y$136:$Y$144)</f>
        <v>134.9</v>
      </c>
      <c r="AE110" s="191">
        <f>MIN($Y$136:$Y$144)</f>
        <v>73</v>
      </c>
      <c r="AF110" s="191">
        <f>STDEV($Y$136:$Y$144)</f>
        <v>22.962684051609475</v>
      </c>
      <c r="AG110" s="190">
        <f>COUNT($Y$136:$Y$144)</f>
        <v>9</v>
      </c>
      <c r="AH110" s="174"/>
      <c r="AI110" s="174"/>
      <c r="AJ110" s="174"/>
      <c r="AK110" s="174"/>
      <c r="AL110" s="174"/>
    </row>
    <row r="111" spans="1:38" s="118" customFormat="1">
      <c r="A111" s="97">
        <v>197</v>
      </c>
      <c r="B111" s="123" t="s">
        <v>875</v>
      </c>
      <c r="C111" s="98">
        <v>2007</v>
      </c>
      <c r="D111" s="123" t="s">
        <v>928</v>
      </c>
      <c r="E111" s="99" t="s">
        <v>20</v>
      </c>
      <c r="F111" s="98">
        <v>2003</v>
      </c>
      <c r="G111" s="98" t="s">
        <v>326</v>
      </c>
      <c r="H111" s="98" t="s">
        <v>159</v>
      </c>
      <c r="I111" s="98"/>
      <c r="J111" s="101" t="s">
        <v>1013</v>
      </c>
      <c r="K111" s="98" t="s">
        <v>1069</v>
      </c>
      <c r="L111" s="98" t="s">
        <v>403</v>
      </c>
      <c r="M111" s="98"/>
      <c r="N111" s="98"/>
      <c r="O111" s="98" t="s">
        <v>931</v>
      </c>
      <c r="P111" s="98">
        <v>0.97</v>
      </c>
      <c r="Q111" s="101"/>
      <c r="R111" s="101">
        <f>+P111</f>
        <v>0.97</v>
      </c>
      <c r="S111" s="101"/>
      <c r="T111" s="101"/>
      <c r="U111" s="101"/>
      <c r="V111" s="98">
        <v>19.899999999999999</v>
      </c>
      <c r="W111" s="101"/>
      <c r="X111" s="101">
        <f t="shared" si="3"/>
        <v>0.97</v>
      </c>
      <c r="Y111" s="304">
        <f>+V111</f>
        <v>19.899999999999999</v>
      </c>
      <c r="Z111" s="106" t="str">
        <f t="shared" si="5"/>
        <v>F</v>
      </c>
      <c r="AA111" s="101"/>
      <c r="AB111" s="101"/>
      <c r="AC111" s="101"/>
      <c r="AD111" s="174"/>
      <c r="AE111" s="174"/>
      <c r="AF111" s="174"/>
      <c r="AG111" s="174"/>
      <c r="AH111" s="174"/>
      <c r="AI111" s="174"/>
      <c r="AJ111" s="174"/>
      <c r="AK111" s="174"/>
      <c r="AL111" s="174"/>
    </row>
    <row r="112" spans="1:38" s="118" customFormat="1">
      <c r="A112" s="97">
        <v>118</v>
      </c>
      <c r="B112" s="123" t="s">
        <v>399</v>
      </c>
      <c r="C112" s="98">
        <v>1999</v>
      </c>
      <c r="D112" s="123" t="s">
        <v>400</v>
      </c>
      <c r="E112" s="99" t="s">
        <v>20</v>
      </c>
      <c r="F112" s="98">
        <v>1999</v>
      </c>
      <c r="G112" s="98" t="s">
        <v>326</v>
      </c>
      <c r="H112" s="98" t="s">
        <v>159</v>
      </c>
      <c r="I112" s="98"/>
      <c r="J112" s="124" t="s">
        <v>1013</v>
      </c>
      <c r="K112" s="103" t="s">
        <v>1056</v>
      </c>
      <c r="L112" s="98" t="s">
        <v>403</v>
      </c>
      <c r="M112" s="98"/>
      <c r="N112" s="98"/>
      <c r="O112" s="98">
        <v>1</v>
      </c>
      <c r="P112" s="98"/>
      <c r="Q112" s="98"/>
      <c r="R112" s="98"/>
      <c r="S112" s="98"/>
      <c r="T112" s="98"/>
      <c r="U112" s="98">
        <v>0.97</v>
      </c>
      <c r="V112" s="98"/>
      <c r="W112" s="98"/>
      <c r="X112" s="101">
        <f t="shared" si="3"/>
        <v>0.97</v>
      </c>
      <c r="Y112" s="122">
        <v>35.700000000000003</v>
      </c>
      <c r="Z112" s="106" t="str">
        <f t="shared" si="5"/>
        <v>F</v>
      </c>
      <c r="AA112" s="101"/>
      <c r="AB112" s="101"/>
      <c r="AC112" s="101"/>
      <c r="AD112" s="174"/>
      <c r="AE112" s="174"/>
      <c r="AF112" s="174"/>
      <c r="AG112" s="174"/>
      <c r="AH112" s="174"/>
      <c r="AI112" s="174"/>
      <c r="AJ112" s="174"/>
      <c r="AK112" s="174"/>
      <c r="AL112" s="174"/>
    </row>
    <row r="113" spans="1:38" s="118" customFormat="1">
      <c r="A113" s="97">
        <v>172</v>
      </c>
      <c r="B113" s="98" t="s">
        <v>585</v>
      </c>
      <c r="C113" s="98">
        <v>2010</v>
      </c>
      <c r="D113" s="98" t="s">
        <v>586</v>
      </c>
      <c r="E113" s="99" t="s">
        <v>589</v>
      </c>
      <c r="F113" s="100">
        <v>40235</v>
      </c>
      <c r="G113" s="98" t="s">
        <v>631</v>
      </c>
      <c r="H113" s="98" t="s">
        <v>159</v>
      </c>
      <c r="I113" s="98"/>
      <c r="J113" s="101" t="s">
        <v>1013</v>
      </c>
      <c r="K113" s="98" t="s">
        <v>1069</v>
      </c>
      <c r="L113" s="98" t="s">
        <v>634</v>
      </c>
      <c r="M113" s="109" t="s">
        <v>635</v>
      </c>
      <c r="N113" s="109"/>
      <c r="O113" s="98"/>
      <c r="P113" s="103"/>
      <c r="Q113" s="103"/>
      <c r="R113" s="98"/>
      <c r="S113" s="98"/>
      <c r="T113" s="98"/>
      <c r="U113" s="104">
        <v>0.95899999999999996</v>
      </c>
      <c r="V113" s="104"/>
      <c r="W113" s="104"/>
      <c r="X113" s="101">
        <f t="shared" si="3"/>
        <v>0.95899999999999996</v>
      </c>
      <c r="Y113" s="122">
        <v>51</v>
      </c>
      <c r="Z113" s="106" t="str">
        <f t="shared" si="5"/>
        <v>F</v>
      </c>
      <c r="AA113" s="101"/>
      <c r="AB113" s="101"/>
      <c r="AC113" s="101"/>
      <c r="AD113" s="174"/>
      <c r="AE113" s="174"/>
      <c r="AF113" s="174"/>
      <c r="AG113" s="174"/>
      <c r="AH113" s="174"/>
      <c r="AI113" s="174"/>
      <c r="AJ113" s="174"/>
      <c r="AK113" s="174"/>
      <c r="AL113" s="174"/>
    </row>
    <row r="114" spans="1:38" s="118" customFormat="1">
      <c r="A114" s="97">
        <v>181</v>
      </c>
      <c r="B114" s="98" t="s">
        <v>766</v>
      </c>
      <c r="C114" s="98">
        <v>2009</v>
      </c>
      <c r="D114" s="112" t="s">
        <v>767</v>
      </c>
      <c r="E114" s="113" t="s">
        <v>49</v>
      </c>
      <c r="F114" s="98"/>
      <c r="G114" s="98" t="s">
        <v>777</v>
      </c>
      <c r="H114" s="115" t="s">
        <v>581</v>
      </c>
      <c r="I114" s="115"/>
      <c r="J114" s="115" t="s">
        <v>1013</v>
      </c>
      <c r="K114" s="115" t="s">
        <v>1096</v>
      </c>
      <c r="L114" s="114" t="s">
        <v>775</v>
      </c>
      <c r="M114" s="114" t="s">
        <v>164</v>
      </c>
      <c r="N114" s="114"/>
      <c r="O114" s="114" t="s">
        <v>868</v>
      </c>
      <c r="P114" s="114"/>
      <c r="Q114" s="114"/>
      <c r="R114" s="98"/>
      <c r="S114" s="98"/>
      <c r="T114" s="98"/>
      <c r="U114" s="129">
        <v>0.94840097300000004</v>
      </c>
      <c r="V114" s="176"/>
      <c r="W114" s="176"/>
      <c r="X114" s="101">
        <f t="shared" si="3"/>
        <v>0.94840097300000004</v>
      </c>
      <c r="Y114" s="117">
        <v>59.429581040000002</v>
      </c>
      <c r="Z114" s="106" t="str">
        <f t="shared" si="5"/>
        <v>F</v>
      </c>
      <c r="AA114" s="101"/>
      <c r="AB114" s="101"/>
      <c r="AC114" s="101"/>
      <c r="AD114" s="174"/>
      <c r="AE114" s="174"/>
      <c r="AF114" s="174"/>
      <c r="AG114" s="174"/>
      <c r="AH114" s="174"/>
      <c r="AI114" s="174"/>
      <c r="AJ114" s="174"/>
      <c r="AK114" s="174"/>
      <c r="AL114" s="174"/>
    </row>
    <row r="115" spans="1:38" s="118" customFormat="1">
      <c r="A115" s="97"/>
      <c r="B115" s="258" t="s">
        <v>1276</v>
      </c>
      <c r="C115" s="259">
        <v>1989</v>
      </c>
      <c r="D115" s="101"/>
      <c r="E115" s="103" t="s">
        <v>49</v>
      </c>
      <c r="F115" s="98"/>
      <c r="G115" s="98"/>
      <c r="H115" s="98"/>
      <c r="I115" s="98"/>
      <c r="J115" s="302" t="s">
        <v>1013</v>
      </c>
      <c r="K115" s="302" t="s">
        <v>1256</v>
      </c>
      <c r="L115" s="303"/>
      <c r="M115" s="107"/>
      <c r="N115" s="107"/>
      <c r="O115" s="107" t="s">
        <v>1260</v>
      </c>
      <c r="P115" s="107"/>
      <c r="Q115" s="107"/>
      <c r="R115" s="107">
        <v>0.94099999999999995</v>
      </c>
      <c r="S115" s="107"/>
      <c r="T115" s="107"/>
      <c r="U115" s="98"/>
      <c r="V115" s="98"/>
      <c r="W115" s="98"/>
      <c r="X115" s="101">
        <f t="shared" si="3"/>
        <v>0.94099999999999995</v>
      </c>
      <c r="Y115" s="107">
        <v>32</v>
      </c>
      <c r="Z115" s="106" t="str">
        <f t="shared" si="5"/>
        <v>F</v>
      </c>
      <c r="AA115" s="101"/>
      <c r="AB115" s="101"/>
      <c r="AC115" s="101"/>
      <c r="AD115" s="174"/>
      <c r="AE115" s="174"/>
      <c r="AF115" s="174"/>
      <c r="AG115" s="174"/>
      <c r="AH115" s="174"/>
      <c r="AI115" s="174"/>
      <c r="AJ115" s="174"/>
      <c r="AK115" s="174"/>
      <c r="AL115" s="174"/>
    </row>
    <row r="116" spans="1:38" s="118" customFormat="1">
      <c r="A116" s="97">
        <v>181</v>
      </c>
      <c r="B116" s="98" t="s">
        <v>766</v>
      </c>
      <c r="C116" s="98">
        <v>2009</v>
      </c>
      <c r="D116" s="112" t="s">
        <v>767</v>
      </c>
      <c r="E116" s="113" t="s">
        <v>49</v>
      </c>
      <c r="F116" s="114" t="s">
        <v>814</v>
      </c>
      <c r="G116" s="98" t="s">
        <v>774</v>
      </c>
      <c r="H116" s="115" t="s">
        <v>581</v>
      </c>
      <c r="I116" s="115"/>
      <c r="J116" s="115" t="s">
        <v>1013</v>
      </c>
      <c r="K116" s="115" t="s">
        <v>1096</v>
      </c>
      <c r="L116" s="114" t="s">
        <v>775</v>
      </c>
      <c r="M116" s="114" t="s">
        <v>164</v>
      </c>
      <c r="N116" s="114"/>
      <c r="O116" s="114" t="s">
        <v>815</v>
      </c>
      <c r="P116" s="114"/>
      <c r="Q116" s="114"/>
      <c r="R116" s="98"/>
      <c r="S116" s="98"/>
      <c r="T116" s="98"/>
      <c r="U116" s="129">
        <v>0.93836761499999999</v>
      </c>
      <c r="V116" s="176"/>
      <c r="W116" s="176"/>
      <c r="X116" s="101">
        <f t="shared" si="3"/>
        <v>0.93836761499999999</v>
      </c>
      <c r="Y116" s="117">
        <v>70.120979039999995</v>
      </c>
      <c r="Z116" s="106" t="str">
        <f t="shared" si="5"/>
        <v>F</v>
      </c>
      <c r="AA116" s="101"/>
      <c r="AB116" s="101"/>
      <c r="AC116" s="101"/>
      <c r="AD116" s="174"/>
      <c r="AE116" s="174"/>
      <c r="AF116" s="174"/>
      <c r="AG116" s="174"/>
      <c r="AH116" s="174"/>
      <c r="AI116" s="174"/>
      <c r="AJ116" s="174"/>
      <c r="AK116" s="174"/>
      <c r="AL116" s="174"/>
    </row>
    <row r="117" spans="1:38" s="118" customFormat="1">
      <c r="A117" s="97">
        <v>181</v>
      </c>
      <c r="B117" s="98" t="s">
        <v>766</v>
      </c>
      <c r="C117" s="98">
        <v>2009</v>
      </c>
      <c r="D117" s="112" t="s">
        <v>767</v>
      </c>
      <c r="E117" s="113" t="s">
        <v>49</v>
      </c>
      <c r="F117" s="114" t="s">
        <v>773</v>
      </c>
      <c r="G117" s="98" t="s">
        <v>774</v>
      </c>
      <c r="H117" s="115" t="s">
        <v>581</v>
      </c>
      <c r="I117" s="115"/>
      <c r="J117" s="115" t="s">
        <v>1013</v>
      </c>
      <c r="K117" s="115" t="s">
        <v>1096</v>
      </c>
      <c r="L117" s="114" t="s">
        <v>775</v>
      </c>
      <c r="M117" s="114" t="s">
        <v>164</v>
      </c>
      <c r="N117" s="114"/>
      <c r="O117" s="114" t="s">
        <v>826</v>
      </c>
      <c r="P117" s="114"/>
      <c r="Q117" s="114"/>
      <c r="R117" s="98"/>
      <c r="S117" s="98"/>
      <c r="T117" s="98"/>
      <c r="U117" s="129">
        <v>0.93163082699999999</v>
      </c>
      <c r="V117" s="176"/>
      <c r="W117" s="176"/>
      <c r="X117" s="101">
        <f t="shared" si="3"/>
        <v>0.93163082699999999</v>
      </c>
      <c r="Y117" s="117">
        <v>77.895614190000003</v>
      </c>
      <c r="Z117" s="106" t="str">
        <f t="shared" si="5"/>
        <v>F</v>
      </c>
      <c r="AA117" s="101"/>
      <c r="AB117" s="101"/>
      <c r="AC117" s="101"/>
      <c r="AD117" s="174"/>
      <c r="AE117" s="174"/>
      <c r="AF117" s="174"/>
      <c r="AG117" s="174"/>
      <c r="AH117" s="174"/>
      <c r="AI117" s="174"/>
      <c r="AJ117" s="174"/>
      <c r="AK117" s="174"/>
      <c r="AL117" s="174"/>
    </row>
    <row r="118" spans="1:38" s="118" customFormat="1">
      <c r="A118" s="97">
        <v>181</v>
      </c>
      <c r="B118" s="98" t="s">
        <v>766</v>
      </c>
      <c r="C118" s="98">
        <v>2009</v>
      </c>
      <c r="D118" s="112" t="s">
        <v>767</v>
      </c>
      <c r="E118" s="113" t="s">
        <v>49</v>
      </c>
      <c r="F118" s="114" t="s">
        <v>806</v>
      </c>
      <c r="G118" s="98" t="s">
        <v>777</v>
      </c>
      <c r="H118" s="115" t="s">
        <v>581</v>
      </c>
      <c r="I118" s="115"/>
      <c r="J118" s="115" t="s">
        <v>1013</v>
      </c>
      <c r="K118" s="115" t="s">
        <v>1096</v>
      </c>
      <c r="L118" s="114" t="s">
        <v>775</v>
      </c>
      <c r="M118" s="114" t="s">
        <v>164</v>
      </c>
      <c r="N118" s="114"/>
      <c r="O118" s="114" t="s">
        <v>807</v>
      </c>
      <c r="P118" s="114"/>
      <c r="Q118" s="114"/>
      <c r="R118" s="98"/>
      <c r="S118" s="98"/>
      <c r="T118" s="98"/>
      <c r="U118" s="129">
        <v>0.92572142999999996</v>
      </c>
      <c r="V118" s="176"/>
      <c r="W118" s="176"/>
      <c r="X118" s="101">
        <f t="shared" si="3"/>
        <v>0.92572142999999996</v>
      </c>
      <c r="Y118" s="117">
        <v>84.234933139999995</v>
      </c>
      <c r="Z118" s="106" t="str">
        <f t="shared" si="5"/>
        <v>F</v>
      </c>
      <c r="AA118" s="101"/>
      <c r="AB118" s="101"/>
      <c r="AC118" s="101"/>
      <c r="AD118" s="174"/>
      <c r="AE118" s="174"/>
      <c r="AF118" s="174"/>
      <c r="AG118" s="174"/>
      <c r="AH118" s="174"/>
      <c r="AI118" s="174"/>
      <c r="AJ118" s="174"/>
      <c r="AK118" s="174"/>
      <c r="AL118" s="174"/>
    </row>
    <row r="119" spans="1:38" s="118" customFormat="1">
      <c r="A119" s="97"/>
      <c r="B119" s="258" t="s">
        <v>1276</v>
      </c>
      <c r="C119" s="259">
        <v>1989</v>
      </c>
      <c r="D119" s="101"/>
      <c r="E119" s="103" t="s">
        <v>49</v>
      </c>
      <c r="F119" s="98"/>
      <c r="G119" s="98"/>
      <c r="H119" s="98"/>
      <c r="I119" s="98"/>
      <c r="J119" s="302" t="s">
        <v>1013</v>
      </c>
      <c r="K119" s="302" t="s">
        <v>1256</v>
      </c>
      <c r="L119" s="303"/>
      <c r="M119" s="107"/>
      <c r="N119" s="107"/>
      <c r="O119" s="107" t="s">
        <v>1259</v>
      </c>
      <c r="P119" s="107"/>
      <c r="Q119" s="107"/>
      <c r="R119" s="107">
        <v>0.92500000000000004</v>
      </c>
      <c r="S119" s="107"/>
      <c r="T119" s="107"/>
      <c r="U119" s="98"/>
      <c r="V119" s="98"/>
      <c r="W119" s="98"/>
      <c r="X119" s="101">
        <f t="shared" si="3"/>
        <v>0.92500000000000004</v>
      </c>
      <c r="Y119" s="107">
        <v>44</v>
      </c>
      <c r="Z119" s="106" t="str">
        <f t="shared" si="5"/>
        <v>F</v>
      </c>
      <c r="AA119" s="101"/>
      <c r="AB119" s="101"/>
      <c r="AC119" s="101"/>
      <c r="AD119" s="174"/>
      <c r="AE119" s="174"/>
      <c r="AF119" s="174"/>
      <c r="AG119" s="174"/>
      <c r="AH119" s="174"/>
      <c r="AI119" s="174"/>
      <c r="AJ119" s="174"/>
      <c r="AK119" s="174"/>
      <c r="AL119" s="174"/>
    </row>
    <row r="120" spans="1:38" s="118" customFormat="1">
      <c r="A120" s="97">
        <v>181</v>
      </c>
      <c r="B120" s="98" t="s">
        <v>766</v>
      </c>
      <c r="C120" s="98">
        <v>2009</v>
      </c>
      <c r="D120" s="112" t="s">
        <v>767</v>
      </c>
      <c r="E120" s="113" t="s">
        <v>49</v>
      </c>
      <c r="F120" s="114" t="s">
        <v>773</v>
      </c>
      <c r="G120" s="98" t="s">
        <v>832</v>
      </c>
      <c r="H120" s="115" t="s">
        <v>581</v>
      </c>
      <c r="I120" s="115"/>
      <c r="J120" s="115" t="s">
        <v>1013</v>
      </c>
      <c r="K120" s="115" t="s">
        <v>1096</v>
      </c>
      <c r="L120" s="114" t="s">
        <v>775</v>
      </c>
      <c r="M120" s="114" t="s">
        <v>164</v>
      </c>
      <c r="N120" s="114"/>
      <c r="O120" s="114" t="s">
        <v>833</v>
      </c>
      <c r="P120" s="114"/>
      <c r="Q120" s="114"/>
      <c r="R120" s="98"/>
      <c r="S120" s="98"/>
      <c r="T120" s="98"/>
      <c r="U120" s="129">
        <v>0.92401837899999995</v>
      </c>
      <c r="V120" s="176"/>
      <c r="W120" s="176"/>
      <c r="X120" s="101">
        <f t="shared" si="3"/>
        <v>0.92401837899999995</v>
      </c>
      <c r="Y120" s="117">
        <v>86.757514450000002</v>
      </c>
      <c r="Z120" s="106" t="str">
        <f t="shared" si="5"/>
        <v>F</v>
      </c>
      <c r="AA120" s="101"/>
      <c r="AB120" s="101"/>
      <c r="AC120" s="101"/>
      <c r="AD120" s="174"/>
      <c r="AE120" s="174"/>
      <c r="AF120" s="174"/>
      <c r="AG120" s="174"/>
      <c r="AH120" s="174"/>
      <c r="AI120" s="174"/>
      <c r="AJ120" s="174"/>
      <c r="AK120" s="174"/>
      <c r="AL120" s="174"/>
    </row>
    <row r="121" spans="1:38" s="118" customFormat="1">
      <c r="A121" s="97">
        <v>181</v>
      </c>
      <c r="B121" s="98" t="s">
        <v>766</v>
      </c>
      <c r="C121" s="98">
        <v>2009</v>
      </c>
      <c r="D121" s="112" t="s">
        <v>767</v>
      </c>
      <c r="E121" s="113" t="s">
        <v>49</v>
      </c>
      <c r="F121" s="114" t="s">
        <v>820</v>
      </c>
      <c r="G121" s="98" t="s">
        <v>821</v>
      </c>
      <c r="H121" s="115" t="s">
        <v>581</v>
      </c>
      <c r="I121" s="115"/>
      <c r="J121" s="115" t="s">
        <v>1013</v>
      </c>
      <c r="K121" s="115" t="s">
        <v>1096</v>
      </c>
      <c r="L121" s="114" t="s">
        <v>775</v>
      </c>
      <c r="M121" s="114" t="s">
        <v>164</v>
      </c>
      <c r="N121" s="114"/>
      <c r="O121" s="114" t="s">
        <v>822</v>
      </c>
      <c r="P121" s="114"/>
      <c r="Q121" s="114"/>
      <c r="R121" s="98"/>
      <c r="S121" s="98"/>
      <c r="T121" s="98"/>
      <c r="U121" s="129">
        <v>0.92372757000000005</v>
      </c>
      <c r="V121" s="176"/>
      <c r="W121" s="176"/>
      <c r="X121" s="101">
        <f t="shared" si="3"/>
        <v>0.92372757000000005</v>
      </c>
      <c r="Y121" s="117">
        <v>86.610838169999994</v>
      </c>
      <c r="Z121" s="106" t="str">
        <f t="shared" si="5"/>
        <v>F</v>
      </c>
      <c r="AA121" s="101"/>
      <c r="AB121" s="101"/>
      <c r="AC121" s="101"/>
      <c r="AD121" s="174"/>
      <c r="AE121" s="174"/>
      <c r="AF121" s="174"/>
      <c r="AG121" s="174"/>
      <c r="AH121" s="174"/>
      <c r="AI121" s="174"/>
      <c r="AJ121" s="174"/>
      <c r="AK121" s="174"/>
      <c r="AL121" s="174"/>
    </row>
    <row r="122" spans="1:38" s="118" customFormat="1">
      <c r="A122" s="97">
        <v>174</v>
      </c>
      <c r="B122" s="98" t="s">
        <v>697</v>
      </c>
      <c r="C122" s="98">
        <v>2009</v>
      </c>
      <c r="D122" s="108" t="s">
        <v>698</v>
      </c>
      <c r="E122" s="99" t="s">
        <v>20</v>
      </c>
      <c r="F122" s="100" t="s">
        <v>701</v>
      </c>
      <c r="G122" s="98" t="s">
        <v>705</v>
      </c>
      <c r="H122" s="98" t="s">
        <v>159</v>
      </c>
      <c r="I122" s="98"/>
      <c r="J122" s="101" t="s">
        <v>1013</v>
      </c>
      <c r="K122" s="98" t="s">
        <v>1096</v>
      </c>
      <c r="L122" s="98" t="s">
        <v>715</v>
      </c>
      <c r="M122" s="109"/>
      <c r="N122" s="109"/>
      <c r="O122" s="98" t="s">
        <v>715</v>
      </c>
      <c r="P122" s="103"/>
      <c r="Q122" s="103"/>
      <c r="R122" s="98"/>
      <c r="S122" s="98"/>
      <c r="T122" s="98"/>
      <c r="U122" s="104">
        <v>0.92</v>
      </c>
      <c r="V122" s="104"/>
      <c r="W122" s="104"/>
      <c r="X122" s="101">
        <f t="shared" si="3"/>
        <v>0.92</v>
      </c>
      <c r="Y122" s="122">
        <v>88.4</v>
      </c>
      <c r="Z122" s="106" t="str">
        <f t="shared" si="5"/>
        <v>F</v>
      </c>
      <c r="AA122" s="101"/>
      <c r="AB122" s="101"/>
      <c r="AC122" s="101"/>
      <c r="AD122" s="174"/>
      <c r="AE122" s="174"/>
      <c r="AF122" s="174"/>
      <c r="AG122" s="174"/>
      <c r="AH122" s="174"/>
      <c r="AI122" s="174"/>
      <c r="AJ122" s="174"/>
      <c r="AK122" s="174"/>
      <c r="AL122" s="174"/>
    </row>
    <row r="123" spans="1:38" s="118" customFormat="1">
      <c r="A123" s="97">
        <v>181</v>
      </c>
      <c r="B123" s="98" t="s">
        <v>766</v>
      </c>
      <c r="C123" s="98">
        <v>2009</v>
      </c>
      <c r="D123" s="112" t="s">
        <v>767</v>
      </c>
      <c r="E123" s="113" t="s">
        <v>49</v>
      </c>
      <c r="F123" s="114" t="s">
        <v>806</v>
      </c>
      <c r="G123" s="98" t="s">
        <v>821</v>
      </c>
      <c r="H123" s="115" t="s">
        <v>581</v>
      </c>
      <c r="I123" s="115"/>
      <c r="J123" s="115" t="s">
        <v>1013</v>
      </c>
      <c r="K123" s="115" t="s">
        <v>1096</v>
      </c>
      <c r="L123" s="114" t="s">
        <v>775</v>
      </c>
      <c r="M123" s="114" t="s">
        <v>164</v>
      </c>
      <c r="N123" s="114"/>
      <c r="O123" s="114" t="s">
        <v>823</v>
      </c>
      <c r="P123" s="114"/>
      <c r="Q123" s="114"/>
      <c r="R123" s="98"/>
      <c r="S123" s="98"/>
      <c r="T123" s="98"/>
      <c r="U123" s="129">
        <v>0.91865929800000001</v>
      </c>
      <c r="V123" s="176"/>
      <c r="W123" s="176"/>
      <c r="X123" s="101">
        <f t="shared" si="3"/>
        <v>0.91865929800000001</v>
      </c>
      <c r="Y123" s="117">
        <v>92.346491639999996</v>
      </c>
      <c r="Z123" s="106" t="str">
        <f t="shared" si="5"/>
        <v>F</v>
      </c>
      <c r="AA123" s="101"/>
      <c r="AB123" s="101"/>
      <c r="AC123" s="101"/>
      <c r="AD123" s="174"/>
      <c r="AE123" s="174"/>
      <c r="AF123" s="174"/>
      <c r="AG123" s="174"/>
      <c r="AH123" s="174"/>
      <c r="AI123" s="174"/>
      <c r="AJ123" s="174"/>
      <c r="AK123" s="174"/>
      <c r="AL123" s="174"/>
    </row>
    <row r="124" spans="1:38" s="118" customFormat="1">
      <c r="A124" s="97">
        <v>181</v>
      </c>
      <c r="B124" s="98" t="s">
        <v>766</v>
      </c>
      <c r="C124" s="98">
        <v>2009</v>
      </c>
      <c r="D124" s="112" t="s">
        <v>767</v>
      </c>
      <c r="E124" s="113" t="s">
        <v>49</v>
      </c>
      <c r="F124" s="114" t="s">
        <v>780</v>
      </c>
      <c r="G124" s="98" t="s">
        <v>786</v>
      </c>
      <c r="H124" s="115" t="s">
        <v>159</v>
      </c>
      <c r="I124" s="115"/>
      <c r="J124" s="115" t="s">
        <v>1013</v>
      </c>
      <c r="K124" s="115" t="s">
        <v>1096</v>
      </c>
      <c r="L124" s="114" t="s">
        <v>782</v>
      </c>
      <c r="M124" s="114" t="s">
        <v>164</v>
      </c>
      <c r="N124" s="114"/>
      <c r="O124" s="114" t="s">
        <v>840</v>
      </c>
      <c r="P124" s="114"/>
      <c r="Q124" s="114"/>
      <c r="R124" s="98"/>
      <c r="S124" s="98"/>
      <c r="T124" s="98"/>
      <c r="U124" s="129">
        <v>0.91831407899999995</v>
      </c>
      <c r="V124" s="176"/>
      <c r="W124" s="176"/>
      <c r="X124" s="101">
        <f t="shared" si="3"/>
        <v>0.91831407899999995</v>
      </c>
      <c r="Y124" s="117">
        <v>92.851658520000001</v>
      </c>
      <c r="Z124" s="106" t="str">
        <f t="shared" si="5"/>
        <v>F</v>
      </c>
      <c r="AA124" s="101"/>
      <c r="AB124" s="101"/>
      <c r="AC124" s="101"/>
      <c r="AD124" s="174"/>
      <c r="AE124" s="174"/>
      <c r="AF124" s="174"/>
      <c r="AG124" s="174"/>
      <c r="AH124" s="174"/>
      <c r="AI124" s="174"/>
      <c r="AJ124" s="174"/>
      <c r="AK124" s="174"/>
      <c r="AL124" s="174"/>
    </row>
    <row r="125" spans="1:38" s="118" customFormat="1">
      <c r="A125" s="97">
        <v>181</v>
      </c>
      <c r="B125" s="98" t="s">
        <v>766</v>
      </c>
      <c r="C125" s="98">
        <v>2009</v>
      </c>
      <c r="D125" s="112" t="s">
        <v>767</v>
      </c>
      <c r="E125" s="113" t="s">
        <v>49</v>
      </c>
      <c r="F125" s="114" t="s">
        <v>806</v>
      </c>
      <c r="G125" s="98" t="s">
        <v>777</v>
      </c>
      <c r="H125" s="115" t="s">
        <v>581</v>
      </c>
      <c r="I125" s="115"/>
      <c r="J125" s="115" t="s">
        <v>1013</v>
      </c>
      <c r="K125" s="115" t="s">
        <v>1096</v>
      </c>
      <c r="L125" s="114" t="s">
        <v>775</v>
      </c>
      <c r="M125" s="114" t="s">
        <v>164</v>
      </c>
      <c r="N125" s="114"/>
      <c r="O125" s="114" t="s">
        <v>828</v>
      </c>
      <c r="P125" s="114"/>
      <c r="Q125" s="114"/>
      <c r="R125" s="98"/>
      <c r="S125" s="98"/>
      <c r="T125" s="98"/>
      <c r="U125" s="129">
        <v>0.91809654699999999</v>
      </c>
      <c r="V125" s="176"/>
      <c r="W125" s="176"/>
      <c r="X125" s="101">
        <f t="shared" si="3"/>
        <v>0.91809654699999999</v>
      </c>
      <c r="Y125" s="117">
        <v>93.098951159999999</v>
      </c>
      <c r="Z125" s="106" t="str">
        <f t="shared" si="5"/>
        <v>F</v>
      </c>
      <c r="AA125" s="101"/>
      <c r="AB125" s="101"/>
      <c r="AC125" s="101"/>
      <c r="AD125" s="174"/>
      <c r="AE125" s="174"/>
      <c r="AF125" s="174"/>
      <c r="AG125" s="174"/>
      <c r="AH125" s="174"/>
      <c r="AI125" s="174"/>
      <c r="AJ125" s="174"/>
      <c r="AK125" s="174"/>
      <c r="AL125" s="174"/>
    </row>
    <row r="126" spans="1:38" s="118" customFormat="1">
      <c r="A126" s="97">
        <v>181</v>
      </c>
      <c r="B126" s="98" t="s">
        <v>766</v>
      </c>
      <c r="C126" s="98">
        <v>2009</v>
      </c>
      <c r="D126" s="112" t="s">
        <v>767</v>
      </c>
      <c r="E126" s="112" t="s">
        <v>49</v>
      </c>
      <c r="F126" s="119"/>
      <c r="G126" s="98" t="s">
        <v>777</v>
      </c>
      <c r="H126" s="108" t="s">
        <v>581</v>
      </c>
      <c r="I126" s="108"/>
      <c r="J126" s="115" t="s">
        <v>1013</v>
      </c>
      <c r="K126" s="115" t="s">
        <v>1096</v>
      </c>
      <c r="L126" s="119" t="s">
        <v>775</v>
      </c>
      <c r="M126" s="119" t="s">
        <v>164</v>
      </c>
      <c r="N126" s="119"/>
      <c r="O126" s="119" t="s">
        <v>779</v>
      </c>
      <c r="P126" s="119"/>
      <c r="Q126" s="119"/>
      <c r="R126" s="98"/>
      <c r="S126" s="98"/>
      <c r="T126" s="98"/>
      <c r="U126" s="130">
        <v>0.91637743400000005</v>
      </c>
      <c r="V126" s="177"/>
      <c r="W126" s="177"/>
      <c r="X126" s="101">
        <f t="shared" si="3"/>
        <v>0.91637743400000005</v>
      </c>
      <c r="Y126" s="121">
        <v>94.206533280000002</v>
      </c>
      <c r="Z126" s="106" t="str">
        <f t="shared" si="5"/>
        <v>F</v>
      </c>
      <c r="AA126" s="101"/>
      <c r="AB126" s="101"/>
      <c r="AC126" s="101"/>
      <c r="AD126" s="174"/>
      <c r="AE126" s="174"/>
      <c r="AF126" s="174"/>
      <c r="AG126" s="174"/>
      <c r="AH126" s="174"/>
      <c r="AI126" s="174"/>
      <c r="AJ126" s="174"/>
      <c r="AK126" s="174"/>
      <c r="AL126" s="174"/>
    </row>
    <row r="127" spans="1:38" s="118" customFormat="1">
      <c r="A127" s="97">
        <v>181</v>
      </c>
      <c r="B127" s="98" t="s">
        <v>766</v>
      </c>
      <c r="C127" s="98">
        <v>2009</v>
      </c>
      <c r="D127" s="112" t="s">
        <v>767</v>
      </c>
      <c r="E127" s="113" t="s">
        <v>49</v>
      </c>
      <c r="F127" s="114"/>
      <c r="G127" s="98" t="s">
        <v>777</v>
      </c>
      <c r="H127" s="115" t="s">
        <v>581</v>
      </c>
      <c r="I127" s="115"/>
      <c r="J127" s="115" t="s">
        <v>1013</v>
      </c>
      <c r="K127" s="115" t="s">
        <v>1096</v>
      </c>
      <c r="L127" s="114" t="s">
        <v>775</v>
      </c>
      <c r="M127" s="114" t="s">
        <v>164</v>
      </c>
      <c r="N127" s="114"/>
      <c r="O127" s="114" t="s">
        <v>779</v>
      </c>
      <c r="P127" s="114"/>
      <c r="Q127" s="114"/>
      <c r="R127" s="98"/>
      <c r="S127" s="98"/>
      <c r="T127" s="98"/>
      <c r="U127" s="129">
        <v>0.91637743400000005</v>
      </c>
      <c r="V127" s="176"/>
      <c r="W127" s="176"/>
      <c r="X127" s="101">
        <f t="shared" si="3"/>
        <v>0.91637743400000005</v>
      </c>
      <c r="Y127" s="117">
        <v>94.206533280000002</v>
      </c>
      <c r="Z127" s="106" t="str">
        <f t="shared" si="5"/>
        <v>F</v>
      </c>
      <c r="AA127" s="101"/>
      <c r="AB127" s="101"/>
      <c r="AC127" s="101"/>
      <c r="AD127" s="174"/>
      <c r="AE127" s="174"/>
      <c r="AF127" s="174"/>
      <c r="AG127" s="174"/>
      <c r="AH127" s="174"/>
      <c r="AI127" s="174"/>
      <c r="AJ127" s="174"/>
      <c r="AK127" s="174"/>
      <c r="AL127" s="174"/>
    </row>
    <row r="128" spans="1:38" s="118" customFormat="1">
      <c r="A128" s="97">
        <v>181</v>
      </c>
      <c r="B128" s="98" t="s">
        <v>766</v>
      </c>
      <c r="C128" s="98">
        <v>2009</v>
      </c>
      <c r="D128" s="112" t="s">
        <v>767</v>
      </c>
      <c r="E128" s="113" t="s">
        <v>49</v>
      </c>
      <c r="F128" s="114" t="s">
        <v>780</v>
      </c>
      <c r="G128" s="98" t="s">
        <v>781</v>
      </c>
      <c r="H128" s="115" t="s">
        <v>95</v>
      </c>
      <c r="I128" s="115"/>
      <c r="J128" s="108" t="s">
        <v>1013</v>
      </c>
      <c r="K128" s="108" t="s">
        <v>1096</v>
      </c>
      <c r="L128" s="114" t="s">
        <v>782</v>
      </c>
      <c r="M128" s="114" t="s">
        <v>783</v>
      </c>
      <c r="N128" s="114" t="s">
        <v>784</v>
      </c>
      <c r="O128" s="114" t="s">
        <v>803</v>
      </c>
      <c r="P128" s="114"/>
      <c r="Q128" s="114"/>
      <c r="R128" s="98"/>
      <c r="S128" s="98"/>
      <c r="T128" s="98"/>
      <c r="U128" s="129">
        <v>0.91620070099999995</v>
      </c>
      <c r="V128" s="176"/>
      <c r="W128" s="176"/>
      <c r="X128" s="101">
        <f t="shared" si="3"/>
        <v>0.91620070099999995</v>
      </c>
      <c r="Y128" s="117">
        <v>93.7</v>
      </c>
      <c r="Z128" s="106" t="str">
        <f t="shared" si="5"/>
        <v>F</v>
      </c>
      <c r="AA128" s="101"/>
      <c r="AB128" s="101"/>
      <c r="AC128" s="101"/>
      <c r="AD128" s="174"/>
      <c r="AE128" s="174"/>
      <c r="AF128" s="174"/>
      <c r="AG128" s="174"/>
      <c r="AH128" s="174"/>
      <c r="AI128" s="174"/>
      <c r="AJ128" s="174"/>
      <c r="AK128" s="174"/>
      <c r="AL128" s="174"/>
    </row>
    <row r="129" spans="1:38" s="118" customFormat="1">
      <c r="A129" s="97">
        <v>181</v>
      </c>
      <c r="B129" s="98" t="s">
        <v>766</v>
      </c>
      <c r="C129" s="98">
        <v>2009</v>
      </c>
      <c r="D129" s="112" t="s">
        <v>767</v>
      </c>
      <c r="E129" s="113" t="s">
        <v>49</v>
      </c>
      <c r="F129" s="114" t="s">
        <v>829</v>
      </c>
      <c r="G129" s="98" t="s">
        <v>786</v>
      </c>
      <c r="H129" s="115" t="s">
        <v>159</v>
      </c>
      <c r="I129" s="115"/>
      <c r="J129" s="115" t="s">
        <v>1013</v>
      </c>
      <c r="K129" s="115" t="s">
        <v>1096</v>
      </c>
      <c r="L129" s="114" t="s">
        <v>782</v>
      </c>
      <c r="M129" s="114" t="s">
        <v>164</v>
      </c>
      <c r="N129" s="114"/>
      <c r="O129" s="114" t="s">
        <v>830</v>
      </c>
      <c r="P129" s="114"/>
      <c r="Q129" s="114"/>
      <c r="R129" s="98"/>
      <c r="S129" s="98"/>
      <c r="T129" s="98"/>
      <c r="U129" s="129">
        <v>0.91426053399999996</v>
      </c>
      <c r="V129" s="176"/>
      <c r="W129" s="176"/>
      <c r="X129" s="101">
        <f t="shared" si="3"/>
        <v>0.91426053399999996</v>
      </c>
      <c r="Y129" s="117">
        <v>97.413594239999995</v>
      </c>
      <c r="Z129" s="106" t="str">
        <f t="shared" si="5"/>
        <v>F</v>
      </c>
      <c r="AA129" s="101"/>
      <c r="AB129" s="101"/>
      <c r="AC129" s="101"/>
      <c r="AD129" s="174"/>
      <c r="AE129" s="174"/>
      <c r="AF129" s="174"/>
      <c r="AG129" s="174"/>
      <c r="AH129" s="174"/>
      <c r="AI129" s="174"/>
      <c r="AJ129" s="174"/>
      <c r="AK129" s="174"/>
      <c r="AL129" s="174"/>
    </row>
    <row r="130" spans="1:38" s="118" customFormat="1">
      <c r="A130" s="97"/>
      <c r="B130" s="258" t="s">
        <v>1276</v>
      </c>
      <c r="C130" s="259">
        <v>1989</v>
      </c>
      <c r="D130" s="101"/>
      <c r="E130" s="103" t="s">
        <v>49</v>
      </c>
      <c r="F130" s="98"/>
      <c r="G130" s="98"/>
      <c r="H130" s="98"/>
      <c r="I130" s="98"/>
      <c r="J130" s="302" t="s">
        <v>1013</v>
      </c>
      <c r="K130" s="302" t="s">
        <v>1256</v>
      </c>
      <c r="L130" s="303"/>
      <c r="M130" s="107"/>
      <c r="N130" s="107"/>
      <c r="O130" s="107" t="s">
        <v>1258</v>
      </c>
      <c r="P130" s="107"/>
      <c r="Q130" s="107"/>
      <c r="R130" s="107">
        <v>0.91400000000000003</v>
      </c>
      <c r="S130" s="107"/>
      <c r="T130" s="107"/>
      <c r="U130" s="98"/>
      <c r="V130" s="98"/>
      <c r="W130" s="98"/>
      <c r="X130" s="101">
        <f t="shared" ref="X130:X193" si="6">IF(R130&lt;&gt;0,IF(R130&gt;1,R130/100,R130),IF(U130&lt;&gt;0,IF(U130&gt;1,U130/100,U130),""))</f>
        <v>0.91400000000000003</v>
      </c>
      <c r="Y130" s="107">
        <v>58</v>
      </c>
      <c r="Z130" s="106" t="str">
        <f t="shared" si="5"/>
        <v>F</v>
      </c>
      <c r="AA130" s="101"/>
      <c r="AB130" s="101"/>
      <c r="AC130" s="101"/>
      <c r="AD130" s="174"/>
      <c r="AE130" s="174"/>
      <c r="AF130" s="174"/>
      <c r="AG130" s="174"/>
      <c r="AH130" s="174"/>
      <c r="AI130" s="174"/>
      <c r="AJ130" s="174"/>
      <c r="AK130" s="174"/>
      <c r="AL130" s="174"/>
    </row>
    <row r="131" spans="1:38" s="118" customFormat="1">
      <c r="A131" s="97">
        <v>181</v>
      </c>
      <c r="B131" s="98" t="s">
        <v>766</v>
      </c>
      <c r="C131" s="98">
        <v>2009</v>
      </c>
      <c r="D131" s="112" t="s">
        <v>767</v>
      </c>
      <c r="E131" s="113" t="s">
        <v>49</v>
      </c>
      <c r="F131" s="114" t="s">
        <v>773</v>
      </c>
      <c r="G131" s="98" t="s">
        <v>777</v>
      </c>
      <c r="H131" s="115" t="s">
        <v>581</v>
      </c>
      <c r="I131" s="115"/>
      <c r="J131" s="115" t="s">
        <v>1013</v>
      </c>
      <c r="K131" s="115" t="s">
        <v>1096</v>
      </c>
      <c r="L131" s="114" t="s">
        <v>775</v>
      </c>
      <c r="M131" s="114" t="s">
        <v>164</v>
      </c>
      <c r="N131" s="114"/>
      <c r="O131" s="114" t="s">
        <v>778</v>
      </c>
      <c r="P131" s="114"/>
      <c r="Q131" s="114"/>
      <c r="R131" s="98"/>
      <c r="S131" s="98"/>
      <c r="T131" s="98"/>
      <c r="U131" s="129">
        <v>0.91048192400000005</v>
      </c>
      <c r="V131" s="176"/>
      <c r="W131" s="176"/>
      <c r="X131" s="101">
        <f t="shared" si="6"/>
        <v>0.91048192400000005</v>
      </c>
      <c r="Y131" s="117">
        <v>100.57266989999999</v>
      </c>
      <c r="Z131" s="106" t="str">
        <f t="shared" si="5"/>
        <v>F</v>
      </c>
      <c r="AA131" s="101"/>
      <c r="AB131" s="101"/>
      <c r="AC131" s="101"/>
      <c r="AD131" s="174"/>
      <c r="AE131" s="174"/>
      <c r="AF131" s="174"/>
      <c r="AG131" s="174"/>
      <c r="AH131" s="174"/>
      <c r="AI131" s="174"/>
      <c r="AJ131" s="174"/>
      <c r="AK131" s="174"/>
      <c r="AL131" s="174"/>
    </row>
    <row r="132" spans="1:38" s="118" customFormat="1">
      <c r="A132" s="97">
        <v>203</v>
      </c>
      <c r="B132" s="123" t="s">
        <v>940</v>
      </c>
      <c r="C132" s="98">
        <v>2011</v>
      </c>
      <c r="D132" s="123" t="s">
        <v>941</v>
      </c>
      <c r="E132" s="99" t="s">
        <v>20</v>
      </c>
      <c r="F132" s="98">
        <v>2009</v>
      </c>
      <c r="G132" s="98" t="s">
        <v>326</v>
      </c>
      <c r="H132" s="98"/>
      <c r="I132" s="98"/>
      <c r="J132" s="101" t="s">
        <v>1013</v>
      </c>
      <c r="K132" s="98" t="s">
        <v>1096</v>
      </c>
      <c r="L132" s="98" t="s">
        <v>715</v>
      </c>
      <c r="M132" s="98"/>
      <c r="N132" s="98"/>
      <c r="O132" s="98">
        <v>57</v>
      </c>
      <c r="P132" s="98"/>
      <c r="Q132" s="98"/>
      <c r="R132" s="98"/>
      <c r="S132" s="98"/>
      <c r="T132" s="98"/>
      <c r="U132" s="98">
        <v>0.91</v>
      </c>
      <c r="V132" s="98"/>
      <c r="W132" s="98"/>
      <c r="X132" s="101">
        <f t="shared" si="6"/>
        <v>0.91</v>
      </c>
      <c r="Y132" s="122">
        <v>96.9</v>
      </c>
      <c r="Z132" s="106" t="str">
        <f t="shared" ref="Z132:Z147" si="7">IF(X132&lt;&gt;"",IF(X132&lt;0.9,"S","F"),"")</f>
        <v>F</v>
      </c>
      <c r="AA132" s="101"/>
      <c r="AB132" s="101"/>
      <c r="AC132" s="101"/>
      <c r="AD132" s="174"/>
      <c r="AE132" s="174"/>
      <c r="AF132" s="174"/>
      <c r="AG132" s="174"/>
      <c r="AH132" s="174"/>
      <c r="AI132" s="174"/>
      <c r="AJ132" s="174"/>
      <c r="AK132" s="174"/>
      <c r="AL132" s="174"/>
    </row>
    <row r="133" spans="1:38" s="118" customFormat="1">
      <c r="A133" s="97">
        <v>181</v>
      </c>
      <c r="B133" s="98" t="s">
        <v>766</v>
      </c>
      <c r="C133" s="98">
        <v>2009</v>
      </c>
      <c r="D133" s="112" t="s">
        <v>767</v>
      </c>
      <c r="E133" s="112" t="s">
        <v>49</v>
      </c>
      <c r="F133" s="119" t="s">
        <v>780</v>
      </c>
      <c r="G133" s="98" t="s">
        <v>786</v>
      </c>
      <c r="H133" s="108" t="s">
        <v>159</v>
      </c>
      <c r="I133" s="108"/>
      <c r="J133" s="115" t="s">
        <v>1013</v>
      </c>
      <c r="K133" s="115" t="s">
        <v>1096</v>
      </c>
      <c r="L133" s="119" t="s">
        <v>782</v>
      </c>
      <c r="M133" s="119" t="s">
        <v>164</v>
      </c>
      <c r="N133" s="119"/>
      <c r="O133" s="119" t="s">
        <v>787</v>
      </c>
      <c r="P133" s="119"/>
      <c r="Q133" s="119"/>
      <c r="R133" s="98"/>
      <c r="S133" s="98"/>
      <c r="T133" s="98"/>
      <c r="U133" s="130">
        <v>0.90993638700000001</v>
      </c>
      <c r="V133" s="177"/>
      <c r="W133" s="177"/>
      <c r="X133" s="101">
        <f t="shared" si="6"/>
        <v>0.90993638700000001</v>
      </c>
      <c r="Y133" s="121">
        <v>101.3779491</v>
      </c>
      <c r="Z133" s="106" t="str">
        <f t="shared" si="7"/>
        <v>F</v>
      </c>
      <c r="AA133" s="101"/>
      <c r="AB133" s="101"/>
      <c r="AC133" s="101"/>
      <c r="AD133" s="174"/>
      <c r="AE133" s="174"/>
      <c r="AF133" s="174"/>
      <c r="AG133" s="174"/>
      <c r="AH133" s="174"/>
      <c r="AI133" s="174"/>
      <c r="AJ133" s="174"/>
      <c r="AK133" s="174"/>
      <c r="AL133" s="174"/>
    </row>
    <row r="134" spans="1:38" s="118" customFormat="1">
      <c r="A134" s="97">
        <v>181</v>
      </c>
      <c r="B134" s="98" t="s">
        <v>766</v>
      </c>
      <c r="C134" s="98">
        <v>2009</v>
      </c>
      <c r="D134" s="112" t="s">
        <v>767</v>
      </c>
      <c r="E134" s="112" t="s">
        <v>49</v>
      </c>
      <c r="F134" s="119" t="s">
        <v>780</v>
      </c>
      <c r="G134" s="98" t="s">
        <v>781</v>
      </c>
      <c r="H134" s="108" t="s">
        <v>95</v>
      </c>
      <c r="I134" s="108"/>
      <c r="J134" s="108" t="s">
        <v>1013</v>
      </c>
      <c r="K134" s="108" t="s">
        <v>1096</v>
      </c>
      <c r="L134" s="119" t="s">
        <v>782</v>
      </c>
      <c r="M134" s="119" t="s">
        <v>783</v>
      </c>
      <c r="N134" s="119" t="s">
        <v>784</v>
      </c>
      <c r="O134" s="119" t="s">
        <v>785</v>
      </c>
      <c r="P134" s="119"/>
      <c r="Q134" s="119"/>
      <c r="R134" s="98"/>
      <c r="S134" s="98"/>
      <c r="T134" s="98"/>
      <c r="U134" s="130">
        <v>0.90572357999999997</v>
      </c>
      <c r="V134" s="177"/>
      <c r="W134" s="177"/>
      <c r="X134" s="101">
        <f t="shared" si="6"/>
        <v>0.90572357999999997</v>
      </c>
      <c r="Y134" s="121">
        <v>106.0421372</v>
      </c>
      <c r="Z134" s="106" t="str">
        <f t="shared" si="7"/>
        <v>F</v>
      </c>
      <c r="AA134" s="101"/>
      <c r="AB134" s="101"/>
      <c r="AC134" s="101"/>
      <c r="AD134" s="174"/>
      <c r="AE134" s="174"/>
      <c r="AF134" s="174"/>
      <c r="AG134" s="174"/>
      <c r="AH134" s="174"/>
      <c r="AI134" s="174"/>
      <c r="AJ134" s="174"/>
      <c r="AK134" s="174"/>
      <c r="AL134" s="174"/>
    </row>
    <row r="135" spans="1:38" s="107" customFormat="1">
      <c r="A135" s="97">
        <v>181</v>
      </c>
      <c r="B135" s="98" t="s">
        <v>766</v>
      </c>
      <c r="C135" s="98">
        <v>2009</v>
      </c>
      <c r="D135" s="112" t="s">
        <v>767</v>
      </c>
      <c r="E135" s="113" t="s">
        <v>49</v>
      </c>
      <c r="F135" s="114" t="s">
        <v>780</v>
      </c>
      <c r="G135" s="98" t="s">
        <v>786</v>
      </c>
      <c r="H135" s="115" t="s">
        <v>159</v>
      </c>
      <c r="I135" s="115"/>
      <c r="J135" s="115" t="s">
        <v>1013</v>
      </c>
      <c r="K135" s="115" t="s">
        <v>1096</v>
      </c>
      <c r="L135" s="114" t="s">
        <v>782</v>
      </c>
      <c r="M135" s="114" t="s">
        <v>164</v>
      </c>
      <c r="N135" s="114"/>
      <c r="O135" s="114" t="s">
        <v>813</v>
      </c>
      <c r="P135" s="114"/>
      <c r="Q135" s="114"/>
      <c r="R135" s="98"/>
      <c r="S135" s="98"/>
      <c r="T135" s="98"/>
      <c r="U135" s="129">
        <v>0.90398989900000004</v>
      </c>
      <c r="V135" s="176"/>
      <c r="W135" s="176"/>
      <c r="X135" s="101">
        <f t="shared" si="6"/>
        <v>0.90398989900000004</v>
      </c>
      <c r="Y135" s="117">
        <v>107.0830895</v>
      </c>
      <c r="Z135" s="106" t="str">
        <f t="shared" si="7"/>
        <v>F</v>
      </c>
      <c r="AA135" s="101"/>
      <c r="AB135" s="101"/>
      <c r="AC135" s="101"/>
      <c r="AD135" s="174"/>
      <c r="AE135" s="174"/>
      <c r="AF135" s="174"/>
      <c r="AG135" s="174"/>
      <c r="AH135" s="174"/>
      <c r="AI135" s="174"/>
      <c r="AJ135" s="174"/>
      <c r="AK135" s="174"/>
      <c r="AL135" s="174"/>
    </row>
    <row r="136" spans="1:38" s="107" customFormat="1">
      <c r="A136" s="97">
        <v>181</v>
      </c>
      <c r="B136" s="98" t="s">
        <v>766</v>
      </c>
      <c r="C136" s="98">
        <v>2009</v>
      </c>
      <c r="D136" s="112" t="s">
        <v>767</v>
      </c>
      <c r="E136" s="113" t="s">
        <v>49</v>
      </c>
      <c r="F136" s="114" t="s">
        <v>780</v>
      </c>
      <c r="G136" s="98" t="s">
        <v>781</v>
      </c>
      <c r="H136" s="115" t="s">
        <v>95</v>
      </c>
      <c r="I136" s="115"/>
      <c r="J136" s="108" t="s">
        <v>1013</v>
      </c>
      <c r="K136" s="108" t="s">
        <v>1096</v>
      </c>
      <c r="L136" s="114" t="s">
        <v>782</v>
      </c>
      <c r="M136" s="114" t="s">
        <v>783</v>
      </c>
      <c r="N136" s="114" t="s">
        <v>784</v>
      </c>
      <c r="O136" s="114" t="s">
        <v>816</v>
      </c>
      <c r="P136" s="114"/>
      <c r="Q136" s="114"/>
      <c r="R136" s="98"/>
      <c r="S136" s="98"/>
      <c r="T136" s="98"/>
      <c r="U136" s="129">
        <v>0.89980392300000001</v>
      </c>
      <c r="V136" s="176"/>
      <c r="W136" s="176"/>
      <c r="X136" s="101">
        <f t="shared" si="6"/>
        <v>0.89980392300000001</v>
      </c>
      <c r="Y136" s="117">
        <v>113.6</v>
      </c>
      <c r="Z136" s="106" t="str">
        <f t="shared" si="7"/>
        <v>S</v>
      </c>
      <c r="AA136" s="101"/>
      <c r="AB136" s="101"/>
      <c r="AC136" s="101"/>
      <c r="AD136" s="174"/>
      <c r="AE136" s="174"/>
      <c r="AF136" s="174"/>
      <c r="AG136" s="174"/>
      <c r="AH136" s="174"/>
      <c r="AI136" s="174"/>
      <c r="AJ136" s="174"/>
      <c r="AK136" s="174"/>
      <c r="AL136" s="174"/>
    </row>
    <row r="137" spans="1:38" s="118" customFormat="1">
      <c r="A137" s="97"/>
      <c r="B137" s="258" t="s">
        <v>1276</v>
      </c>
      <c r="C137" s="259">
        <v>1989</v>
      </c>
      <c r="D137" s="101"/>
      <c r="E137" s="103" t="s">
        <v>49</v>
      </c>
      <c r="F137" s="98"/>
      <c r="G137" s="98"/>
      <c r="H137" s="98"/>
      <c r="I137" s="98"/>
      <c r="J137" s="302" t="s">
        <v>1013</v>
      </c>
      <c r="K137" s="302" t="s">
        <v>1256</v>
      </c>
      <c r="L137" s="303"/>
      <c r="M137" s="107"/>
      <c r="N137" s="107"/>
      <c r="O137" s="107" t="s">
        <v>1265</v>
      </c>
      <c r="P137" s="107"/>
      <c r="Q137" s="107"/>
      <c r="R137" s="107">
        <v>0.89300000000000002</v>
      </c>
      <c r="S137" s="107"/>
      <c r="T137" s="107"/>
      <c r="U137" s="98"/>
      <c r="V137" s="98"/>
      <c r="W137" s="98"/>
      <c r="X137" s="101">
        <f t="shared" si="6"/>
        <v>0.89300000000000002</v>
      </c>
      <c r="Y137" s="107">
        <v>73</v>
      </c>
      <c r="Z137" s="106" t="str">
        <f t="shared" si="7"/>
        <v>S</v>
      </c>
      <c r="AA137" s="101"/>
      <c r="AB137" s="101"/>
      <c r="AC137" s="101"/>
      <c r="AD137" s="174"/>
      <c r="AE137" s="174"/>
      <c r="AF137" s="174"/>
      <c r="AG137" s="174"/>
      <c r="AH137" s="174"/>
      <c r="AI137" s="174"/>
      <c r="AJ137" s="174"/>
      <c r="AK137" s="174"/>
      <c r="AL137" s="174"/>
    </row>
    <row r="138" spans="1:38" s="118" customFormat="1">
      <c r="A138" s="97">
        <v>181</v>
      </c>
      <c r="B138" s="98" t="s">
        <v>766</v>
      </c>
      <c r="C138" s="98">
        <v>2009</v>
      </c>
      <c r="D138" s="112" t="s">
        <v>767</v>
      </c>
      <c r="E138" s="113" t="s">
        <v>49</v>
      </c>
      <c r="F138" s="114" t="s">
        <v>773</v>
      </c>
      <c r="G138" s="98" t="s">
        <v>774</v>
      </c>
      <c r="H138" s="115" t="s">
        <v>581</v>
      </c>
      <c r="I138" s="115"/>
      <c r="J138" s="115" t="s">
        <v>1013</v>
      </c>
      <c r="K138" s="115" t="s">
        <v>1096</v>
      </c>
      <c r="L138" s="114" t="s">
        <v>775</v>
      </c>
      <c r="M138" s="114" t="s">
        <v>164</v>
      </c>
      <c r="N138" s="114"/>
      <c r="O138" s="114" t="s">
        <v>776</v>
      </c>
      <c r="P138" s="114"/>
      <c r="Q138" s="114"/>
      <c r="R138" s="98"/>
      <c r="S138" s="98"/>
      <c r="T138" s="98"/>
      <c r="U138" s="129">
        <v>0.88962645699999998</v>
      </c>
      <c r="V138" s="176"/>
      <c r="W138" s="176"/>
      <c r="X138" s="101">
        <f t="shared" si="6"/>
        <v>0.88962645699999998</v>
      </c>
      <c r="Y138" s="117">
        <v>126.7422756</v>
      </c>
      <c r="Z138" s="106" t="str">
        <f t="shared" si="7"/>
        <v>S</v>
      </c>
      <c r="AA138" s="101"/>
      <c r="AB138" s="101"/>
      <c r="AC138" s="101"/>
      <c r="AD138" s="174"/>
      <c r="AE138" s="174"/>
      <c r="AF138" s="174"/>
      <c r="AG138" s="174"/>
      <c r="AH138" s="174"/>
      <c r="AI138" s="174"/>
      <c r="AJ138" s="174"/>
      <c r="AK138" s="174"/>
      <c r="AL138" s="174"/>
    </row>
    <row r="139" spans="1:38" s="118" customFormat="1">
      <c r="A139" s="97"/>
      <c r="B139" s="258" t="s">
        <v>1276</v>
      </c>
      <c r="C139" s="259">
        <v>1989</v>
      </c>
      <c r="D139" s="101"/>
      <c r="E139" s="103" t="s">
        <v>49</v>
      </c>
      <c r="F139" s="98"/>
      <c r="G139" s="98"/>
      <c r="H139" s="98"/>
      <c r="I139" s="98"/>
      <c r="J139" s="302" t="s">
        <v>1013</v>
      </c>
      <c r="K139" s="302" t="s">
        <v>1256</v>
      </c>
      <c r="L139" s="303"/>
      <c r="M139" s="107"/>
      <c r="N139" s="107"/>
      <c r="O139" s="107" t="s">
        <v>1266</v>
      </c>
      <c r="P139" s="107"/>
      <c r="Q139" s="107"/>
      <c r="R139" s="107">
        <v>0.88200000000000001</v>
      </c>
      <c r="S139" s="107"/>
      <c r="T139" s="107"/>
      <c r="U139" s="98"/>
      <c r="V139" s="98"/>
      <c r="W139" s="98"/>
      <c r="X139" s="101">
        <f t="shared" si="6"/>
        <v>0.88200000000000001</v>
      </c>
      <c r="Y139" s="107">
        <v>73</v>
      </c>
      <c r="Z139" s="106" t="str">
        <f t="shared" si="7"/>
        <v>S</v>
      </c>
      <c r="AA139" s="101"/>
      <c r="AB139" s="101"/>
      <c r="AC139" s="101"/>
      <c r="AD139" s="174"/>
      <c r="AE139" s="174"/>
      <c r="AF139" s="174"/>
      <c r="AG139" s="174"/>
      <c r="AH139" s="174"/>
      <c r="AI139" s="174"/>
      <c r="AJ139" s="174"/>
      <c r="AK139" s="174"/>
      <c r="AL139" s="174"/>
    </row>
    <row r="140" spans="1:38" s="118" customFormat="1">
      <c r="A140" s="97">
        <v>197</v>
      </c>
      <c r="B140" s="123" t="s">
        <v>875</v>
      </c>
      <c r="C140" s="98">
        <v>2007</v>
      </c>
      <c r="D140" s="123" t="s">
        <v>928</v>
      </c>
      <c r="E140" s="99" t="s">
        <v>20</v>
      </c>
      <c r="F140" s="98">
        <v>2003</v>
      </c>
      <c r="G140" s="98" t="s">
        <v>326</v>
      </c>
      <c r="H140" s="98" t="s">
        <v>159</v>
      </c>
      <c r="I140" s="98"/>
      <c r="J140" s="101" t="s">
        <v>1013</v>
      </c>
      <c r="K140" s="98" t="s">
        <v>1111</v>
      </c>
      <c r="L140" s="98" t="s">
        <v>315</v>
      </c>
      <c r="M140" s="98"/>
      <c r="N140" s="98"/>
      <c r="O140" s="98" t="s">
        <v>930</v>
      </c>
      <c r="P140" s="101"/>
      <c r="Q140" s="98">
        <v>0.88</v>
      </c>
      <c r="R140" s="101">
        <f>+Q140</f>
        <v>0.88</v>
      </c>
      <c r="S140" s="101"/>
      <c r="T140" s="101"/>
      <c r="U140" s="101"/>
      <c r="V140" s="101"/>
      <c r="W140" s="98">
        <v>126.7</v>
      </c>
      <c r="X140" s="101">
        <f t="shared" si="6"/>
        <v>0.88</v>
      </c>
      <c r="Y140" s="304">
        <f>+W140</f>
        <v>126.7</v>
      </c>
      <c r="Z140" s="106" t="str">
        <f t="shared" si="7"/>
        <v>S</v>
      </c>
      <c r="AA140" s="101"/>
      <c r="AB140" s="101"/>
      <c r="AC140" s="101"/>
      <c r="AD140" s="174"/>
      <c r="AE140" s="174"/>
      <c r="AF140" s="174"/>
      <c r="AG140" s="174"/>
      <c r="AH140" s="174"/>
      <c r="AI140" s="174"/>
      <c r="AJ140" s="174"/>
      <c r="AK140" s="174"/>
      <c r="AL140" s="174"/>
    </row>
    <row r="141" spans="1:38" s="107" customFormat="1">
      <c r="A141" s="97">
        <v>197</v>
      </c>
      <c r="B141" s="123" t="s">
        <v>875</v>
      </c>
      <c r="C141" s="98">
        <v>2007</v>
      </c>
      <c r="D141" s="123" t="s">
        <v>928</v>
      </c>
      <c r="E141" s="99" t="s">
        <v>20</v>
      </c>
      <c r="F141" s="98">
        <v>2003</v>
      </c>
      <c r="G141" s="98" t="s">
        <v>326</v>
      </c>
      <c r="H141" s="98" t="s">
        <v>159</v>
      </c>
      <c r="I141" s="98"/>
      <c r="J141" s="101" t="s">
        <v>1013</v>
      </c>
      <c r="K141" s="98" t="s">
        <v>1069</v>
      </c>
      <c r="L141" s="98" t="s">
        <v>403</v>
      </c>
      <c r="M141" s="98"/>
      <c r="N141" s="98"/>
      <c r="O141" s="98" t="s">
        <v>931</v>
      </c>
      <c r="P141" s="101"/>
      <c r="Q141" s="98">
        <v>0.87</v>
      </c>
      <c r="R141" s="101">
        <f>+Q141</f>
        <v>0.87</v>
      </c>
      <c r="S141" s="101"/>
      <c r="T141" s="101"/>
      <c r="U141" s="101"/>
      <c r="V141" s="101"/>
      <c r="W141" s="98">
        <v>134.9</v>
      </c>
      <c r="X141" s="101">
        <f t="shared" si="6"/>
        <v>0.87</v>
      </c>
      <c r="Y141" s="304">
        <f>+W141</f>
        <v>134.9</v>
      </c>
      <c r="Z141" s="106" t="str">
        <f t="shared" si="7"/>
        <v>S</v>
      </c>
      <c r="AA141" s="101"/>
      <c r="AB141" s="101"/>
      <c r="AC141" s="101"/>
      <c r="AD141" s="174"/>
      <c r="AE141" s="174"/>
      <c r="AF141" s="174"/>
      <c r="AG141" s="174"/>
      <c r="AH141" s="174"/>
      <c r="AI141" s="174"/>
      <c r="AJ141" s="174"/>
      <c r="AK141" s="174"/>
      <c r="AL141" s="174"/>
    </row>
    <row r="142" spans="1:38" s="107" customFormat="1">
      <c r="A142" s="97"/>
      <c r="B142" s="258" t="s">
        <v>1276</v>
      </c>
      <c r="C142" s="259">
        <v>1989</v>
      </c>
      <c r="D142" s="101"/>
      <c r="E142" s="103" t="s">
        <v>49</v>
      </c>
      <c r="F142" s="98"/>
      <c r="G142" s="98"/>
      <c r="H142" s="98"/>
      <c r="I142" s="98"/>
      <c r="J142" s="302" t="s">
        <v>1013</v>
      </c>
      <c r="K142" s="302" t="s">
        <v>1256</v>
      </c>
      <c r="L142" s="303"/>
      <c r="O142" s="107" t="s">
        <v>1264</v>
      </c>
      <c r="R142" s="107">
        <v>0.84199999999999997</v>
      </c>
      <c r="U142" s="98"/>
      <c r="V142" s="98"/>
      <c r="W142" s="98"/>
      <c r="X142" s="101">
        <f t="shared" si="6"/>
        <v>0.84199999999999997</v>
      </c>
      <c r="Y142" s="107">
        <v>122</v>
      </c>
      <c r="Z142" s="106" t="str">
        <f t="shared" si="7"/>
        <v>S</v>
      </c>
      <c r="AA142" s="101"/>
      <c r="AB142" s="101"/>
      <c r="AC142" s="101"/>
      <c r="AD142" s="174"/>
      <c r="AE142" s="174"/>
      <c r="AF142" s="174"/>
      <c r="AG142" s="174"/>
      <c r="AH142" s="174"/>
      <c r="AI142" s="174"/>
      <c r="AJ142" s="174"/>
      <c r="AK142" s="174"/>
      <c r="AL142" s="174"/>
    </row>
    <row r="143" spans="1:38" s="107" customFormat="1">
      <c r="A143" s="97"/>
      <c r="B143" s="258" t="s">
        <v>1276</v>
      </c>
      <c r="C143" s="259">
        <v>1989</v>
      </c>
      <c r="D143" s="101"/>
      <c r="E143" s="103" t="s">
        <v>49</v>
      </c>
      <c r="F143" s="98"/>
      <c r="G143" s="98"/>
      <c r="H143" s="98"/>
      <c r="I143" s="98"/>
      <c r="J143" s="302" t="s">
        <v>1013</v>
      </c>
      <c r="K143" s="302" t="s">
        <v>1256</v>
      </c>
      <c r="L143" s="303"/>
      <c r="O143" s="107" t="s">
        <v>1262</v>
      </c>
      <c r="R143" s="107">
        <v>0.84099999999999997</v>
      </c>
      <c r="U143" s="98"/>
      <c r="V143" s="98"/>
      <c r="W143" s="98"/>
      <c r="X143" s="101">
        <f t="shared" si="6"/>
        <v>0.84099999999999997</v>
      </c>
      <c r="Y143" s="107">
        <v>122</v>
      </c>
      <c r="Z143" s="106" t="str">
        <f t="shared" si="7"/>
        <v>S</v>
      </c>
      <c r="AA143" s="101"/>
      <c r="AB143" s="101"/>
      <c r="AC143" s="101"/>
      <c r="AD143" s="174"/>
      <c r="AE143" s="174"/>
      <c r="AF143" s="174"/>
      <c r="AG143" s="174"/>
      <c r="AH143" s="174"/>
      <c r="AI143" s="174"/>
      <c r="AJ143" s="174"/>
      <c r="AK143" s="174"/>
      <c r="AL143" s="174"/>
    </row>
    <row r="144" spans="1:38" s="107" customFormat="1">
      <c r="A144" s="97"/>
      <c r="B144" s="258" t="s">
        <v>1276</v>
      </c>
      <c r="C144" s="259">
        <v>1989</v>
      </c>
      <c r="D144" s="101"/>
      <c r="E144" s="103" t="s">
        <v>49</v>
      </c>
      <c r="F144" s="98"/>
      <c r="G144" s="98"/>
      <c r="H144" s="98"/>
      <c r="I144" s="98"/>
      <c r="J144" s="302" t="s">
        <v>1013</v>
      </c>
      <c r="K144" s="302" t="s">
        <v>1256</v>
      </c>
      <c r="L144" s="303"/>
      <c r="O144" s="107" t="s">
        <v>1263</v>
      </c>
      <c r="R144" s="107">
        <v>0.83199999999999996</v>
      </c>
      <c r="U144" s="98"/>
      <c r="V144" s="98"/>
      <c r="W144" s="98"/>
      <c r="X144" s="101">
        <f t="shared" si="6"/>
        <v>0.83199999999999996</v>
      </c>
      <c r="Y144" s="107">
        <v>107</v>
      </c>
      <c r="Z144" s="106" t="str">
        <f t="shared" si="7"/>
        <v>S</v>
      </c>
      <c r="AA144" s="101"/>
      <c r="AB144" s="101"/>
      <c r="AC144" s="101"/>
      <c r="AD144" s="174"/>
      <c r="AE144" s="174"/>
      <c r="AF144" s="174"/>
      <c r="AG144" s="174"/>
      <c r="AH144" s="174"/>
      <c r="AI144" s="174"/>
      <c r="AJ144" s="174"/>
      <c r="AK144" s="174"/>
      <c r="AL144" s="174"/>
    </row>
    <row r="145" spans="1:38" s="107" customFormat="1">
      <c r="A145" s="97"/>
      <c r="B145" s="258" t="s">
        <v>1276</v>
      </c>
      <c r="C145" s="259">
        <v>1989</v>
      </c>
      <c r="D145" s="101"/>
      <c r="E145" s="103" t="s">
        <v>49</v>
      </c>
      <c r="F145" s="98"/>
      <c r="G145" s="98"/>
      <c r="H145" s="98"/>
      <c r="I145" s="98"/>
      <c r="J145" s="292" t="s">
        <v>1013</v>
      </c>
      <c r="K145" s="292" t="s">
        <v>1256</v>
      </c>
      <c r="O145" s="107" t="s">
        <v>1261</v>
      </c>
      <c r="R145" s="107">
        <v>0.75600000000000001</v>
      </c>
      <c r="U145" s="98"/>
      <c r="V145" s="98"/>
      <c r="W145" s="98"/>
      <c r="X145" s="101">
        <f t="shared" si="6"/>
        <v>0.75600000000000001</v>
      </c>
      <c r="Y145" s="107">
        <v>198</v>
      </c>
      <c r="Z145" s="106" t="str">
        <f t="shared" si="7"/>
        <v>S</v>
      </c>
      <c r="AA145" s="101"/>
      <c r="AB145" s="101"/>
      <c r="AC145" s="101"/>
      <c r="AD145" s="174"/>
      <c r="AE145" s="174"/>
      <c r="AF145" s="174"/>
      <c r="AG145" s="174"/>
      <c r="AH145" s="174"/>
      <c r="AI145" s="174"/>
      <c r="AJ145" s="174"/>
      <c r="AK145" s="174"/>
      <c r="AL145" s="174"/>
    </row>
    <row r="146" spans="1:38" s="45" customFormat="1">
      <c r="A146" s="53">
        <v>4</v>
      </c>
      <c r="B146" s="60" t="s">
        <v>16</v>
      </c>
      <c r="C146" s="60">
        <v>1969</v>
      </c>
      <c r="D146" s="60" t="s">
        <v>17</v>
      </c>
      <c r="E146" s="56" t="s">
        <v>20</v>
      </c>
      <c r="F146" s="54">
        <v>1968</v>
      </c>
      <c r="G146" s="54" t="s">
        <v>21</v>
      </c>
      <c r="H146" s="54" t="s">
        <v>23</v>
      </c>
      <c r="I146" s="54"/>
      <c r="J146" s="54" t="s">
        <v>1013</v>
      </c>
      <c r="K146" s="54" t="s">
        <v>1169</v>
      </c>
      <c r="L146" s="54" t="s">
        <v>29</v>
      </c>
      <c r="M146" s="54"/>
      <c r="N146" s="54"/>
      <c r="O146" s="54" t="s">
        <v>31</v>
      </c>
      <c r="P146" s="54"/>
      <c r="Q146" s="54"/>
      <c r="R146" s="54"/>
      <c r="S146" s="54"/>
      <c r="T146" s="54"/>
      <c r="U146" s="54"/>
      <c r="V146" s="54"/>
      <c r="W146" s="54"/>
      <c r="X146" s="66" t="str">
        <f t="shared" si="6"/>
        <v/>
      </c>
      <c r="Y146" s="71">
        <v>59</v>
      </c>
      <c r="Z146" s="192" t="str">
        <f t="shared" si="7"/>
        <v/>
      </c>
      <c r="AA146" s="196"/>
      <c r="AB146" s="152" t="s">
        <v>1206</v>
      </c>
      <c r="AC146" s="152" t="s">
        <v>1207</v>
      </c>
      <c r="AD146" s="152" t="s">
        <v>1208</v>
      </c>
      <c r="AE146" s="152" t="s">
        <v>1209</v>
      </c>
      <c r="AF146" s="152" t="s">
        <v>1210</v>
      </c>
      <c r="AG146" s="152" t="s">
        <v>1211</v>
      </c>
      <c r="AH146" s="172"/>
      <c r="AI146" s="172"/>
      <c r="AJ146" s="172"/>
      <c r="AK146" s="172"/>
      <c r="AL146" s="172"/>
    </row>
    <row r="147" spans="1:38" s="45" customFormat="1">
      <c r="A147" s="53">
        <v>4</v>
      </c>
      <c r="B147" s="60" t="s">
        <v>16</v>
      </c>
      <c r="C147" s="60">
        <v>1969</v>
      </c>
      <c r="D147" s="60" t="s">
        <v>17</v>
      </c>
      <c r="E147" s="56" t="s">
        <v>20</v>
      </c>
      <c r="F147" s="54">
        <v>1968</v>
      </c>
      <c r="G147" s="54" t="s">
        <v>21</v>
      </c>
      <c r="H147" s="54" t="s">
        <v>23</v>
      </c>
      <c r="I147" s="54"/>
      <c r="J147" s="54" t="s">
        <v>1013</v>
      </c>
      <c r="K147" s="54" t="s">
        <v>1169</v>
      </c>
      <c r="L147" s="54" t="s">
        <v>29</v>
      </c>
      <c r="M147" s="54"/>
      <c r="N147" s="54"/>
      <c r="O147" s="54" t="s">
        <v>30</v>
      </c>
      <c r="P147" s="54"/>
      <c r="Q147" s="54"/>
      <c r="R147" s="54"/>
      <c r="S147" s="54"/>
      <c r="T147" s="54"/>
      <c r="U147" s="54"/>
      <c r="V147" s="54"/>
      <c r="W147" s="54"/>
      <c r="X147" s="66" t="str">
        <f t="shared" si="6"/>
        <v/>
      </c>
      <c r="Y147" s="71">
        <v>56</v>
      </c>
      <c r="Z147" s="192" t="str">
        <f t="shared" si="7"/>
        <v/>
      </c>
      <c r="AA147" s="196" t="s">
        <v>1324</v>
      </c>
      <c r="AB147" s="197">
        <f>AVERAGE($Y$146:$Y$148)</f>
        <v>92.388888888888872</v>
      </c>
      <c r="AC147" s="197">
        <f>MEDIAN($Y$146:$Y$148)</f>
        <v>59</v>
      </c>
      <c r="AD147" s="197">
        <f>MAX($Y$146:$Y$148)</f>
        <v>162.16666666666666</v>
      </c>
      <c r="AE147" s="197">
        <f>MIN($Y$146:$Y$148)</f>
        <v>56</v>
      </c>
      <c r="AF147" s="197">
        <f>STDEV($Y$146:$Y$148)</f>
        <v>60.447942096515611</v>
      </c>
      <c r="AG147" s="198">
        <f>COUNT($Y$146:$Y$148)</f>
        <v>3</v>
      </c>
      <c r="AH147" s="172"/>
      <c r="AI147" s="172"/>
      <c r="AJ147" s="172"/>
      <c r="AK147" s="172"/>
      <c r="AL147" s="172"/>
    </row>
    <row r="148" spans="1:38" s="45" customFormat="1">
      <c r="A148" s="66"/>
      <c r="B148" s="67" t="s">
        <v>968</v>
      </c>
      <c r="C148" s="171">
        <v>1996</v>
      </c>
      <c r="D148" s="66"/>
      <c r="E148" s="73" t="s">
        <v>172</v>
      </c>
      <c r="F148" s="66"/>
      <c r="G148" s="66"/>
      <c r="H148" s="67" t="s">
        <v>23</v>
      </c>
      <c r="I148" s="67"/>
      <c r="J148" s="66" t="s">
        <v>1013</v>
      </c>
      <c r="K148" s="67" t="s">
        <v>1006</v>
      </c>
      <c r="L148" s="67" t="s">
        <v>1006</v>
      </c>
      <c r="M148" s="67" t="s">
        <v>1007</v>
      </c>
      <c r="N148" s="67"/>
      <c r="O148" s="67" t="s">
        <v>1008</v>
      </c>
      <c r="P148" s="66"/>
      <c r="Q148" s="66"/>
      <c r="R148" s="66"/>
      <c r="S148" s="66"/>
      <c r="T148" s="66"/>
      <c r="U148" s="66"/>
      <c r="V148" s="66">
        <f>139*28/12/2</f>
        <v>162.16666666666666</v>
      </c>
      <c r="W148" s="66"/>
      <c r="X148" s="66" t="str">
        <f t="shared" si="6"/>
        <v/>
      </c>
      <c r="Y148" s="206">
        <f>139*28/12/2</f>
        <v>162.16666666666666</v>
      </c>
      <c r="Z148" s="192" t="s">
        <v>1192</v>
      </c>
      <c r="AA148" s="66"/>
      <c r="AB148" s="66"/>
      <c r="AC148" s="66"/>
      <c r="AD148" s="172"/>
      <c r="AE148" s="172"/>
      <c r="AF148" s="172"/>
      <c r="AG148" s="172"/>
      <c r="AH148" s="172"/>
      <c r="AI148" s="172"/>
      <c r="AJ148" s="172"/>
      <c r="AK148" s="172"/>
      <c r="AL148" s="172"/>
    </row>
    <row r="149" spans="1:38" s="107" customFormat="1">
      <c r="A149" s="97">
        <v>37</v>
      </c>
      <c r="B149" s="103" t="s">
        <v>45</v>
      </c>
      <c r="C149" s="103">
        <v>1982</v>
      </c>
      <c r="D149" s="103" t="s">
        <v>92</v>
      </c>
      <c r="E149" s="99" t="s">
        <v>49</v>
      </c>
      <c r="F149" s="127">
        <v>29781</v>
      </c>
      <c r="G149" s="98" t="s">
        <v>94</v>
      </c>
      <c r="H149" s="98" t="s">
        <v>95</v>
      </c>
      <c r="I149" s="98"/>
      <c r="J149" s="98" t="s">
        <v>1013</v>
      </c>
      <c r="K149" s="98" t="s">
        <v>1134</v>
      </c>
      <c r="L149" s="98" t="s">
        <v>96</v>
      </c>
      <c r="M149" s="98"/>
      <c r="N149" s="98"/>
      <c r="O149" s="98" t="s">
        <v>99</v>
      </c>
      <c r="P149" s="98"/>
      <c r="Q149" s="98"/>
      <c r="R149" s="98"/>
      <c r="S149" s="98"/>
      <c r="T149" s="98"/>
      <c r="U149" s="98"/>
      <c r="V149" s="98"/>
      <c r="W149" s="98"/>
      <c r="X149" s="101" t="str">
        <f t="shared" si="6"/>
        <v/>
      </c>
      <c r="Y149" s="122">
        <v>135.6</v>
      </c>
      <c r="Z149" s="106" t="str">
        <f>IF(X149&lt;&gt;"",IF(X149&lt;0.9,"S","F"),"")</f>
        <v/>
      </c>
      <c r="AA149" s="188"/>
      <c r="AB149" s="188" t="s">
        <v>1206</v>
      </c>
      <c r="AC149" s="188" t="s">
        <v>1207</v>
      </c>
      <c r="AD149" s="188" t="s">
        <v>1208</v>
      </c>
      <c r="AE149" s="188" t="s">
        <v>1209</v>
      </c>
      <c r="AF149" s="188" t="s">
        <v>1210</v>
      </c>
      <c r="AG149" s="188" t="s">
        <v>1211</v>
      </c>
      <c r="AH149" s="174"/>
      <c r="AI149" s="174"/>
      <c r="AJ149" s="174"/>
      <c r="AK149" s="174"/>
      <c r="AL149" s="174"/>
    </row>
    <row r="150" spans="1:38" s="107" customFormat="1">
      <c r="A150" s="97">
        <v>37</v>
      </c>
      <c r="B150" s="103" t="s">
        <v>45</v>
      </c>
      <c r="C150" s="103">
        <v>1982</v>
      </c>
      <c r="D150" s="103" t="s">
        <v>92</v>
      </c>
      <c r="E150" s="99" t="s">
        <v>49</v>
      </c>
      <c r="F150" s="98">
        <v>1989</v>
      </c>
      <c r="G150" s="98" t="s">
        <v>94</v>
      </c>
      <c r="H150" s="98" t="s">
        <v>95</v>
      </c>
      <c r="I150" s="98"/>
      <c r="J150" s="98" t="s">
        <v>1013</v>
      </c>
      <c r="K150" s="98" t="s">
        <v>1134</v>
      </c>
      <c r="L150" s="98" t="s">
        <v>96</v>
      </c>
      <c r="M150" s="98"/>
      <c r="N150" s="98"/>
      <c r="O150" s="98" t="s">
        <v>100</v>
      </c>
      <c r="P150" s="98"/>
      <c r="Q150" s="98"/>
      <c r="R150" s="98"/>
      <c r="S150" s="98"/>
      <c r="T150" s="98"/>
      <c r="U150" s="98"/>
      <c r="V150" s="98"/>
      <c r="W150" s="98"/>
      <c r="X150" s="101" t="str">
        <f t="shared" si="6"/>
        <v/>
      </c>
      <c r="Y150" s="122">
        <v>102</v>
      </c>
      <c r="Z150" s="106" t="str">
        <f>IF(X150&lt;&gt;"",IF(X150&lt;0.9,"S","F"),"")</f>
        <v/>
      </c>
      <c r="AA150" s="188" t="s">
        <v>1325</v>
      </c>
      <c r="AB150" s="191">
        <f>AVERAGE($Y$153:$Y$162)</f>
        <v>64.92</v>
      </c>
      <c r="AC150" s="191">
        <f>MEDIAN($Y$153:$Y$162)</f>
        <v>61.5</v>
      </c>
      <c r="AD150" s="191">
        <f>MAX($Y$153:$Y$162)</f>
        <v>87</v>
      </c>
      <c r="AE150" s="191">
        <f>MIN($Y$153:$Y$162)</f>
        <v>46.2</v>
      </c>
      <c r="AF150" s="191">
        <f>STDEV($Y$153:$Y$162)</f>
        <v>15.10473067912462</v>
      </c>
      <c r="AG150" s="190">
        <f>COUNT($Y$153:$Y$162)</f>
        <v>10</v>
      </c>
      <c r="AH150" s="174"/>
      <c r="AI150" s="174"/>
      <c r="AJ150" s="174"/>
      <c r="AK150" s="174"/>
      <c r="AL150" s="174"/>
    </row>
    <row r="151" spans="1:38" s="107" customFormat="1">
      <c r="A151" s="97">
        <v>37</v>
      </c>
      <c r="B151" s="103" t="s">
        <v>45</v>
      </c>
      <c r="C151" s="103">
        <v>1982</v>
      </c>
      <c r="D151" s="103" t="s">
        <v>92</v>
      </c>
      <c r="E151" s="99" t="s">
        <v>49</v>
      </c>
      <c r="F151" s="127">
        <v>29781</v>
      </c>
      <c r="G151" s="98" t="s">
        <v>94</v>
      </c>
      <c r="H151" s="98" t="s">
        <v>95</v>
      </c>
      <c r="I151" s="98"/>
      <c r="J151" s="98" t="s">
        <v>1013</v>
      </c>
      <c r="K151" s="98" t="s">
        <v>1134</v>
      </c>
      <c r="L151" s="98" t="s">
        <v>96</v>
      </c>
      <c r="M151" s="98"/>
      <c r="N151" s="98"/>
      <c r="O151" s="98" t="s">
        <v>97</v>
      </c>
      <c r="P151" s="98"/>
      <c r="Q151" s="98"/>
      <c r="R151" s="98"/>
      <c r="S151" s="98"/>
      <c r="T151" s="98"/>
      <c r="U151" s="98"/>
      <c r="V151" s="98"/>
      <c r="W151" s="98"/>
      <c r="X151" s="101" t="str">
        <f t="shared" si="6"/>
        <v/>
      </c>
      <c r="Y151" s="122">
        <v>92.8</v>
      </c>
      <c r="Z151" s="106" t="str">
        <f>IF(X151&lt;&gt;"",IF(X151&lt;0.9,"S","F"),"")</f>
        <v/>
      </c>
      <c r="AA151" s="188" t="s">
        <v>1326</v>
      </c>
      <c r="AB151" s="191">
        <f>AVERAGE($Y$163:$Y$182)</f>
        <v>174.5</v>
      </c>
      <c r="AC151" s="191">
        <f>MEDIAN($Y$163:$Y$182)</f>
        <v>191</v>
      </c>
      <c r="AD151" s="191">
        <f>MAX($Y$163:$Y$182)</f>
        <v>263</v>
      </c>
      <c r="AE151" s="191">
        <f>MIN($Y$163:$Y$182)</f>
        <v>94</v>
      </c>
      <c r="AF151" s="191">
        <f>STDEV($Y$163:$Y$182)</f>
        <v>45.542923651615098</v>
      </c>
      <c r="AG151" s="190">
        <f>COUNT($Y$163:$Y$182)</f>
        <v>20</v>
      </c>
      <c r="AH151" s="174" t="s">
        <v>1332</v>
      </c>
      <c r="AI151" s="174"/>
      <c r="AJ151" s="174"/>
      <c r="AK151" s="174"/>
      <c r="AL151" s="174"/>
    </row>
    <row r="152" spans="1:38" s="107" customFormat="1">
      <c r="A152" s="97">
        <v>37</v>
      </c>
      <c r="B152" s="103" t="s">
        <v>45</v>
      </c>
      <c r="C152" s="103">
        <v>1982</v>
      </c>
      <c r="D152" s="103" t="s">
        <v>92</v>
      </c>
      <c r="E152" s="99" t="s">
        <v>49</v>
      </c>
      <c r="F152" s="127">
        <v>29781</v>
      </c>
      <c r="G152" s="98" t="s">
        <v>94</v>
      </c>
      <c r="H152" s="98" t="s">
        <v>95</v>
      </c>
      <c r="I152" s="98"/>
      <c r="J152" s="98" t="s">
        <v>1013</v>
      </c>
      <c r="K152" s="98" t="s">
        <v>1134</v>
      </c>
      <c r="L152" s="98" t="s">
        <v>96</v>
      </c>
      <c r="M152" s="98"/>
      <c r="N152" s="98"/>
      <c r="O152" s="98" t="s">
        <v>98</v>
      </c>
      <c r="P152" s="98"/>
      <c r="Q152" s="98"/>
      <c r="R152" s="98"/>
      <c r="S152" s="98"/>
      <c r="T152" s="98"/>
      <c r="U152" s="98"/>
      <c r="V152" s="98"/>
      <c r="W152" s="98"/>
      <c r="X152" s="101" t="str">
        <f t="shared" si="6"/>
        <v/>
      </c>
      <c r="Y152" s="122">
        <v>76.8</v>
      </c>
      <c r="Z152" s="106" t="str">
        <f>IF(X152&lt;&gt;"",IF(X152&lt;0.9,"S","F"),"")</f>
        <v/>
      </c>
      <c r="AA152" s="101"/>
      <c r="AB152" s="101"/>
      <c r="AC152" s="101"/>
      <c r="AD152" s="174"/>
      <c r="AE152" s="174"/>
      <c r="AF152" s="174"/>
      <c r="AG152" s="174"/>
      <c r="AH152" s="174"/>
      <c r="AI152" s="174"/>
      <c r="AJ152" s="174"/>
      <c r="AK152" s="174"/>
      <c r="AL152" s="174"/>
    </row>
    <row r="153" spans="1:38" s="107" customFormat="1">
      <c r="A153" s="97">
        <v>35</v>
      </c>
      <c r="B153" s="103" t="s">
        <v>45</v>
      </c>
      <c r="C153" s="103">
        <v>1982</v>
      </c>
      <c r="D153" s="103" t="s">
        <v>46</v>
      </c>
      <c r="E153" s="99" t="s">
        <v>49</v>
      </c>
      <c r="F153" s="98" t="s">
        <v>50</v>
      </c>
      <c r="G153" s="98" t="s">
        <v>51</v>
      </c>
      <c r="H153" s="98" t="s">
        <v>23</v>
      </c>
      <c r="I153" s="98"/>
      <c r="J153" s="98" t="s">
        <v>1013</v>
      </c>
      <c r="K153" s="98" t="s">
        <v>1134</v>
      </c>
      <c r="L153" s="98" t="s">
        <v>52</v>
      </c>
      <c r="M153" s="98"/>
      <c r="N153" s="98"/>
      <c r="O153" s="98" t="s">
        <v>53</v>
      </c>
      <c r="P153" s="98"/>
      <c r="Q153" s="98"/>
      <c r="R153" s="98"/>
      <c r="S153" s="98"/>
      <c r="T153" s="98"/>
      <c r="U153" s="98"/>
      <c r="V153" s="98"/>
      <c r="W153" s="98"/>
      <c r="X153" s="101" t="str">
        <f t="shared" si="6"/>
        <v/>
      </c>
      <c r="Y153" s="122">
        <v>87</v>
      </c>
      <c r="Z153" s="106" t="s">
        <v>1192</v>
      </c>
      <c r="AA153" s="101"/>
      <c r="AB153" s="101"/>
      <c r="AC153" s="101"/>
      <c r="AD153" s="174"/>
      <c r="AE153" s="174"/>
      <c r="AF153" s="174"/>
      <c r="AG153" s="174"/>
      <c r="AH153" s="174"/>
      <c r="AI153" s="174"/>
      <c r="AJ153" s="174"/>
      <c r="AK153" s="174"/>
      <c r="AL153" s="174"/>
    </row>
    <row r="154" spans="1:38" s="107" customFormat="1">
      <c r="A154" s="97">
        <v>35</v>
      </c>
      <c r="B154" s="103" t="s">
        <v>45</v>
      </c>
      <c r="C154" s="103">
        <v>1982</v>
      </c>
      <c r="D154" s="103" t="s">
        <v>46</v>
      </c>
      <c r="E154" s="99" t="s">
        <v>49</v>
      </c>
      <c r="F154" s="98" t="s">
        <v>50</v>
      </c>
      <c r="G154" s="98" t="s">
        <v>51</v>
      </c>
      <c r="H154" s="98" t="s">
        <v>23</v>
      </c>
      <c r="I154" s="98"/>
      <c r="J154" s="98" t="s">
        <v>1013</v>
      </c>
      <c r="K154" s="98" t="s">
        <v>1134</v>
      </c>
      <c r="L154" s="98" t="s">
        <v>52</v>
      </c>
      <c r="M154" s="98"/>
      <c r="N154" s="98"/>
      <c r="O154" s="98" t="s">
        <v>54</v>
      </c>
      <c r="P154" s="98"/>
      <c r="Q154" s="98"/>
      <c r="R154" s="98"/>
      <c r="S154" s="98"/>
      <c r="T154" s="98"/>
      <c r="U154" s="98"/>
      <c r="V154" s="98"/>
      <c r="W154" s="98"/>
      <c r="X154" s="101" t="str">
        <f t="shared" si="6"/>
        <v/>
      </c>
      <c r="Y154" s="122">
        <v>64</v>
      </c>
      <c r="Z154" s="106" t="s">
        <v>1192</v>
      </c>
      <c r="AA154" s="101"/>
      <c r="AB154" s="101"/>
      <c r="AC154" s="101"/>
      <c r="AD154" s="174"/>
      <c r="AE154" s="174"/>
      <c r="AF154" s="174"/>
      <c r="AG154" s="174"/>
      <c r="AH154" s="174"/>
      <c r="AI154" s="174"/>
      <c r="AJ154" s="174"/>
      <c r="AK154" s="174"/>
      <c r="AL154" s="174"/>
    </row>
    <row r="155" spans="1:38" s="107" customFormat="1">
      <c r="A155" s="97">
        <v>35</v>
      </c>
      <c r="B155" s="103" t="s">
        <v>45</v>
      </c>
      <c r="C155" s="103">
        <v>1982</v>
      </c>
      <c r="D155" s="103" t="s">
        <v>46</v>
      </c>
      <c r="E155" s="99" t="s">
        <v>49</v>
      </c>
      <c r="F155" s="98" t="s">
        <v>50</v>
      </c>
      <c r="G155" s="98" t="s">
        <v>51</v>
      </c>
      <c r="H155" s="98" t="s">
        <v>23</v>
      </c>
      <c r="I155" s="98"/>
      <c r="J155" s="98" t="s">
        <v>1013</v>
      </c>
      <c r="K155" s="98" t="s">
        <v>1134</v>
      </c>
      <c r="L155" s="98" t="s">
        <v>52</v>
      </c>
      <c r="M155" s="98"/>
      <c r="N155" s="98"/>
      <c r="O155" s="98" t="s">
        <v>56</v>
      </c>
      <c r="P155" s="98"/>
      <c r="Q155" s="98"/>
      <c r="R155" s="98"/>
      <c r="S155" s="98"/>
      <c r="T155" s="98"/>
      <c r="U155" s="98"/>
      <c r="V155" s="98"/>
      <c r="W155" s="98"/>
      <c r="X155" s="101" t="str">
        <f t="shared" si="6"/>
        <v/>
      </c>
      <c r="Y155" s="122">
        <v>59</v>
      </c>
      <c r="Z155" s="106" t="s">
        <v>1192</v>
      </c>
      <c r="AA155" s="101"/>
      <c r="AB155" s="101"/>
      <c r="AC155" s="101"/>
      <c r="AD155" s="174"/>
      <c r="AE155" s="174"/>
      <c r="AF155" s="174"/>
      <c r="AG155" s="174"/>
      <c r="AH155" s="174"/>
      <c r="AI155" s="174"/>
      <c r="AJ155" s="174"/>
      <c r="AK155" s="174"/>
      <c r="AL155" s="174"/>
    </row>
    <row r="156" spans="1:38" s="107" customFormat="1">
      <c r="A156" s="97">
        <v>35</v>
      </c>
      <c r="B156" s="103" t="s">
        <v>45</v>
      </c>
      <c r="C156" s="103">
        <v>1982</v>
      </c>
      <c r="D156" s="103" t="s">
        <v>46</v>
      </c>
      <c r="E156" s="99" t="s">
        <v>49</v>
      </c>
      <c r="F156" s="98" t="s">
        <v>50</v>
      </c>
      <c r="G156" s="98" t="s">
        <v>51</v>
      </c>
      <c r="H156" s="98" t="s">
        <v>23</v>
      </c>
      <c r="I156" s="98"/>
      <c r="J156" s="98" t="s">
        <v>1013</v>
      </c>
      <c r="K156" s="98" t="s">
        <v>1134</v>
      </c>
      <c r="L156" s="98" t="s">
        <v>52</v>
      </c>
      <c r="M156" s="98"/>
      <c r="N156" s="98"/>
      <c r="O156" s="98" t="s">
        <v>57</v>
      </c>
      <c r="P156" s="98"/>
      <c r="Q156" s="98"/>
      <c r="R156" s="98"/>
      <c r="S156" s="98"/>
      <c r="T156" s="98"/>
      <c r="U156" s="98"/>
      <c r="V156" s="98"/>
      <c r="W156" s="98"/>
      <c r="X156" s="101" t="str">
        <f t="shared" si="6"/>
        <v/>
      </c>
      <c r="Y156" s="122">
        <v>56</v>
      </c>
      <c r="Z156" s="106" t="s">
        <v>1192</v>
      </c>
      <c r="AA156" s="101"/>
      <c r="AB156" s="101"/>
      <c r="AC156" s="101"/>
      <c r="AD156" s="174"/>
      <c r="AE156" s="174"/>
      <c r="AF156" s="174"/>
      <c r="AG156" s="174"/>
      <c r="AH156" s="174"/>
      <c r="AI156" s="174"/>
      <c r="AJ156" s="174"/>
      <c r="AK156" s="174"/>
      <c r="AL156" s="174"/>
    </row>
    <row r="157" spans="1:38" s="107" customFormat="1">
      <c r="A157" s="97">
        <v>35</v>
      </c>
      <c r="B157" s="103" t="s">
        <v>45</v>
      </c>
      <c r="C157" s="103">
        <v>1982</v>
      </c>
      <c r="D157" s="103" t="s">
        <v>46</v>
      </c>
      <c r="E157" s="99" t="s">
        <v>49</v>
      </c>
      <c r="F157" s="98" t="s">
        <v>50</v>
      </c>
      <c r="G157" s="98" t="s">
        <v>51</v>
      </c>
      <c r="H157" s="98" t="s">
        <v>23</v>
      </c>
      <c r="I157" s="98"/>
      <c r="J157" s="98" t="s">
        <v>1013</v>
      </c>
      <c r="K157" s="98" t="s">
        <v>1134</v>
      </c>
      <c r="L157" s="98" t="s">
        <v>52</v>
      </c>
      <c r="M157" s="98"/>
      <c r="N157" s="98"/>
      <c r="O157" s="98" t="s">
        <v>55</v>
      </c>
      <c r="P157" s="98"/>
      <c r="Q157" s="98"/>
      <c r="R157" s="98"/>
      <c r="S157" s="98"/>
      <c r="T157" s="98"/>
      <c r="U157" s="98"/>
      <c r="V157" s="98"/>
      <c r="W157" s="98"/>
      <c r="X157" s="101" t="str">
        <f t="shared" si="6"/>
        <v/>
      </c>
      <c r="Y157" s="122">
        <v>47</v>
      </c>
      <c r="Z157" s="106" t="s">
        <v>1192</v>
      </c>
      <c r="AA157" s="101"/>
      <c r="AB157" s="101"/>
      <c r="AC157" s="101"/>
      <c r="AD157" s="174"/>
      <c r="AE157" s="174"/>
      <c r="AF157" s="174"/>
      <c r="AG157" s="174"/>
      <c r="AH157" s="174"/>
      <c r="AI157" s="174"/>
      <c r="AJ157" s="174"/>
      <c r="AK157" s="174"/>
      <c r="AL157" s="174"/>
    </row>
    <row r="158" spans="1:38" s="107" customFormat="1">
      <c r="A158" s="97">
        <v>37</v>
      </c>
      <c r="B158" s="103" t="s">
        <v>45</v>
      </c>
      <c r="C158" s="103">
        <v>1982</v>
      </c>
      <c r="D158" s="103" t="s">
        <v>92</v>
      </c>
      <c r="E158" s="99" t="s">
        <v>49</v>
      </c>
      <c r="F158" s="98">
        <v>1989</v>
      </c>
      <c r="G158" s="98" t="s">
        <v>94</v>
      </c>
      <c r="H158" s="98" t="s">
        <v>95</v>
      </c>
      <c r="I158" s="98"/>
      <c r="J158" s="98" t="s">
        <v>1013</v>
      </c>
      <c r="K158" s="98" t="s">
        <v>1134</v>
      </c>
      <c r="L158" s="98" t="s">
        <v>96</v>
      </c>
      <c r="M158" s="98"/>
      <c r="N158" s="98"/>
      <c r="O158" s="98" t="s">
        <v>102</v>
      </c>
      <c r="P158" s="98"/>
      <c r="Q158" s="98"/>
      <c r="R158" s="98"/>
      <c r="S158" s="98"/>
      <c r="T158" s="98"/>
      <c r="U158" s="98"/>
      <c r="V158" s="98">
        <v>46.2</v>
      </c>
      <c r="W158" s="98"/>
      <c r="X158" s="101" t="str">
        <f t="shared" si="6"/>
        <v/>
      </c>
      <c r="Y158" s="122">
        <f>+V158</f>
        <v>46.2</v>
      </c>
      <c r="Z158" s="106" t="s">
        <v>1192</v>
      </c>
      <c r="AA158" s="101"/>
      <c r="AB158" s="101"/>
      <c r="AC158" s="101"/>
      <c r="AD158" s="174"/>
      <c r="AE158" s="174"/>
      <c r="AF158" s="174"/>
      <c r="AG158" s="174"/>
      <c r="AH158" s="174"/>
      <c r="AI158" s="174"/>
      <c r="AJ158" s="174"/>
      <c r="AK158" s="174"/>
      <c r="AL158" s="174"/>
    </row>
    <row r="159" spans="1:38" s="107" customFormat="1">
      <c r="A159" s="97">
        <v>46</v>
      </c>
      <c r="B159" s="103" t="s">
        <v>45</v>
      </c>
      <c r="C159" s="103">
        <v>1984</v>
      </c>
      <c r="D159" s="103" t="s">
        <v>113</v>
      </c>
      <c r="E159" s="99" t="s">
        <v>49</v>
      </c>
      <c r="F159" s="98">
        <v>1983</v>
      </c>
      <c r="G159" s="98" t="s">
        <v>116</v>
      </c>
      <c r="H159" s="98" t="s">
        <v>95</v>
      </c>
      <c r="I159" s="98"/>
      <c r="J159" s="98" t="s">
        <v>1013</v>
      </c>
      <c r="K159" s="98" t="s">
        <v>1134</v>
      </c>
      <c r="L159" s="98" t="s">
        <v>117</v>
      </c>
      <c r="M159" s="98"/>
      <c r="N159" s="98"/>
      <c r="O159" s="98" t="s">
        <v>134</v>
      </c>
      <c r="P159" s="98">
        <v>0.94</v>
      </c>
      <c r="Q159" s="98"/>
      <c r="R159" s="98">
        <f>+P159</f>
        <v>0.94</v>
      </c>
      <c r="S159" s="98"/>
      <c r="T159" s="98"/>
      <c r="U159" s="98"/>
      <c r="V159" s="98"/>
      <c r="W159" s="98"/>
      <c r="X159" s="101">
        <f t="shared" si="6"/>
        <v>0.94</v>
      </c>
      <c r="Y159" s="122">
        <v>56</v>
      </c>
      <c r="Z159" s="106" t="str">
        <f>IF(X159&lt;&gt;"",IF(X159&lt;0.9,"S","F"),"")</f>
        <v>F</v>
      </c>
      <c r="AA159" s="101"/>
      <c r="AB159" s="101"/>
      <c r="AC159" s="101"/>
      <c r="AD159" s="174"/>
      <c r="AE159" s="174"/>
      <c r="AF159" s="174"/>
      <c r="AG159" s="174"/>
      <c r="AH159" s="174"/>
      <c r="AI159" s="174"/>
      <c r="AJ159" s="174"/>
      <c r="AK159" s="174"/>
      <c r="AL159" s="174"/>
    </row>
    <row r="160" spans="1:38" s="107" customFormat="1">
      <c r="A160" s="97">
        <v>35</v>
      </c>
      <c r="B160" s="103" t="s">
        <v>45</v>
      </c>
      <c r="C160" s="103">
        <v>1982</v>
      </c>
      <c r="D160" s="103" t="s">
        <v>46</v>
      </c>
      <c r="E160" s="99" t="s">
        <v>49</v>
      </c>
      <c r="F160" s="98" t="s">
        <v>50</v>
      </c>
      <c r="G160" s="98" t="s">
        <v>51</v>
      </c>
      <c r="H160" s="98" t="s">
        <v>23</v>
      </c>
      <c r="I160" s="98"/>
      <c r="J160" s="98" t="s">
        <v>1013</v>
      </c>
      <c r="K160" s="98" t="s">
        <v>1134</v>
      </c>
      <c r="L160" s="98" t="s">
        <v>52</v>
      </c>
      <c r="M160" s="98"/>
      <c r="N160" s="98"/>
      <c r="O160" s="98" t="s">
        <v>69</v>
      </c>
      <c r="P160" s="98">
        <v>0.91</v>
      </c>
      <c r="Q160" s="98"/>
      <c r="R160" s="98">
        <f>+P160</f>
        <v>0.91</v>
      </c>
      <c r="S160" s="98"/>
      <c r="T160" s="98"/>
      <c r="U160" s="98"/>
      <c r="V160" s="98">
        <v>67</v>
      </c>
      <c r="W160" s="98"/>
      <c r="X160" s="101">
        <f t="shared" si="6"/>
        <v>0.91</v>
      </c>
      <c r="Y160" s="122">
        <f>+V160</f>
        <v>67</v>
      </c>
      <c r="Z160" s="106" t="str">
        <f>IF(X160&lt;&gt;"",IF(X160&lt;0.9,"S","F"),"")</f>
        <v>F</v>
      </c>
      <c r="AA160" s="101"/>
      <c r="AB160" s="101"/>
      <c r="AC160" s="101"/>
      <c r="AD160" s="174"/>
      <c r="AE160" s="174"/>
      <c r="AF160" s="174"/>
      <c r="AG160" s="174"/>
      <c r="AH160" s="174"/>
      <c r="AI160" s="174"/>
      <c r="AJ160" s="174"/>
      <c r="AK160" s="174"/>
      <c r="AL160" s="174"/>
    </row>
    <row r="161" spans="1:38" s="107" customFormat="1">
      <c r="A161" s="97">
        <v>35</v>
      </c>
      <c r="B161" s="103" t="s">
        <v>45</v>
      </c>
      <c r="C161" s="103">
        <v>1982</v>
      </c>
      <c r="D161" s="103" t="s">
        <v>46</v>
      </c>
      <c r="E161" s="99" t="s">
        <v>49</v>
      </c>
      <c r="F161" s="98" t="s">
        <v>50</v>
      </c>
      <c r="G161" s="98" t="s">
        <v>51</v>
      </c>
      <c r="H161" s="98" t="s">
        <v>23</v>
      </c>
      <c r="I161" s="98"/>
      <c r="J161" s="98" t="s">
        <v>1013</v>
      </c>
      <c r="K161" s="98" t="s">
        <v>1134</v>
      </c>
      <c r="L161" s="98" t="s">
        <v>52</v>
      </c>
      <c r="M161" s="98"/>
      <c r="N161" s="98"/>
      <c r="O161" s="98" t="s">
        <v>67</v>
      </c>
      <c r="P161" s="98">
        <v>0.9</v>
      </c>
      <c r="Q161" s="98"/>
      <c r="R161" s="98">
        <f>+P161</f>
        <v>0.9</v>
      </c>
      <c r="S161" s="98"/>
      <c r="T161" s="98"/>
      <c r="U161" s="98"/>
      <c r="V161" s="98">
        <v>85</v>
      </c>
      <c r="W161" s="98"/>
      <c r="X161" s="101">
        <f t="shared" si="6"/>
        <v>0.9</v>
      </c>
      <c r="Y161" s="122">
        <f>+V161</f>
        <v>85</v>
      </c>
      <c r="Z161" s="106" t="str">
        <f>IF(X161&lt;&gt;"",IF(X161&lt;0.9,"S","F"),"")</f>
        <v>F</v>
      </c>
      <c r="AA161" s="101"/>
      <c r="AB161" s="101"/>
      <c r="AC161" s="101"/>
      <c r="AD161" s="174"/>
      <c r="AE161" s="174"/>
      <c r="AF161" s="174"/>
      <c r="AG161" s="174"/>
      <c r="AH161" s="174"/>
      <c r="AI161" s="174"/>
      <c r="AJ161" s="174"/>
      <c r="AK161" s="174"/>
      <c r="AL161" s="174"/>
    </row>
    <row r="162" spans="1:38" s="107" customFormat="1">
      <c r="A162" s="97">
        <v>46</v>
      </c>
      <c r="B162" s="103" t="s">
        <v>45</v>
      </c>
      <c r="C162" s="103">
        <v>1984</v>
      </c>
      <c r="D162" s="103" t="s">
        <v>113</v>
      </c>
      <c r="E162" s="99" t="s">
        <v>49</v>
      </c>
      <c r="F162" s="98">
        <v>1983</v>
      </c>
      <c r="G162" s="98" t="s">
        <v>116</v>
      </c>
      <c r="H162" s="98" t="s">
        <v>95</v>
      </c>
      <c r="I162" s="98"/>
      <c r="J162" s="98" t="s">
        <v>1013</v>
      </c>
      <c r="K162" s="98" t="s">
        <v>1134</v>
      </c>
      <c r="L162" s="98" t="s">
        <v>117</v>
      </c>
      <c r="M162" s="98"/>
      <c r="N162" s="98"/>
      <c r="O162" s="98" t="s">
        <v>131</v>
      </c>
      <c r="P162" s="98">
        <v>0.9</v>
      </c>
      <c r="Q162" s="98"/>
      <c r="R162" s="98">
        <f>+P162</f>
        <v>0.9</v>
      </c>
      <c r="S162" s="98"/>
      <c r="T162" s="98"/>
      <c r="U162" s="98"/>
      <c r="V162" s="98"/>
      <c r="W162" s="98"/>
      <c r="X162" s="101">
        <f t="shared" si="6"/>
        <v>0.9</v>
      </c>
      <c r="Y162" s="122">
        <v>82</v>
      </c>
      <c r="Z162" s="106" t="str">
        <f>IF(X162&lt;&gt;"",IF(X162&lt;0.9,"S","F"),"")</f>
        <v>F</v>
      </c>
      <c r="AA162" s="101"/>
      <c r="AB162" s="101"/>
      <c r="AC162" s="101"/>
      <c r="AD162" s="174"/>
      <c r="AE162" s="174"/>
      <c r="AF162" s="174"/>
      <c r="AG162" s="174"/>
      <c r="AH162" s="174"/>
      <c r="AI162" s="174"/>
      <c r="AJ162" s="174"/>
      <c r="AK162" s="174"/>
      <c r="AL162" s="174"/>
    </row>
    <row r="163" spans="1:38" s="107" customFormat="1">
      <c r="A163" s="97">
        <v>37</v>
      </c>
      <c r="B163" s="103" t="s">
        <v>45</v>
      </c>
      <c r="C163" s="103">
        <v>1982</v>
      </c>
      <c r="D163" s="103" t="s">
        <v>92</v>
      </c>
      <c r="E163" s="99" t="s">
        <v>49</v>
      </c>
      <c r="F163" s="98">
        <v>1989</v>
      </c>
      <c r="G163" s="98" t="s">
        <v>94</v>
      </c>
      <c r="H163" s="98" t="s">
        <v>95</v>
      </c>
      <c r="I163" s="98"/>
      <c r="J163" s="98" t="s">
        <v>1013</v>
      </c>
      <c r="K163" s="98" t="s">
        <v>1134</v>
      </c>
      <c r="L163" s="98" t="s">
        <v>96</v>
      </c>
      <c r="M163" s="98"/>
      <c r="N163" s="98"/>
      <c r="O163" s="98" t="s">
        <v>1197</v>
      </c>
      <c r="P163" s="98"/>
      <c r="Q163" s="98"/>
      <c r="R163" s="98"/>
      <c r="S163" s="98"/>
      <c r="T163" s="98"/>
      <c r="U163" s="98"/>
      <c r="V163" s="98"/>
      <c r="W163" s="98"/>
      <c r="X163" s="101" t="str">
        <f t="shared" si="6"/>
        <v/>
      </c>
      <c r="Y163" s="122">
        <v>263</v>
      </c>
      <c r="Z163" s="106" t="s">
        <v>1193</v>
      </c>
      <c r="AA163" s="101"/>
      <c r="AB163" s="101"/>
      <c r="AC163" s="101"/>
      <c r="AD163" s="174"/>
      <c r="AE163" s="174"/>
      <c r="AF163" s="174"/>
      <c r="AG163" s="174"/>
      <c r="AH163" s="174"/>
      <c r="AI163" s="174"/>
      <c r="AJ163" s="174"/>
      <c r="AK163" s="174"/>
      <c r="AL163" s="174"/>
    </row>
    <row r="164" spans="1:38" s="107" customFormat="1">
      <c r="A164" s="97">
        <v>35</v>
      </c>
      <c r="B164" s="103" t="s">
        <v>45</v>
      </c>
      <c r="C164" s="103">
        <v>1982</v>
      </c>
      <c r="D164" s="103" t="s">
        <v>46</v>
      </c>
      <c r="E164" s="99" t="s">
        <v>49</v>
      </c>
      <c r="F164" s="98" t="s">
        <v>50</v>
      </c>
      <c r="G164" s="98" t="s">
        <v>51</v>
      </c>
      <c r="H164" s="98" t="s">
        <v>23</v>
      </c>
      <c r="I164" s="98"/>
      <c r="J164" s="98" t="s">
        <v>1013</v>
      </c>
      <c r="K164" s="98" t="s">
        <v>1134</v>
      </c>
      <c r="L164" s="98" t="s">
        <v>52</v>
      </c>
      <c r="M164" s="98"/>
      <c r="N164" s="98"/>
      <c r="O164" s="98" t="s">
        <v>66</v>
      </c>
      <c r="P164" s="98"/>
      <c r="Q164" s="98"/>
      <c r="R164" s="98"/>
      <c r="S164" s="98"/>
      <c r="T164" s="98"/>
      <c r="U164" s="98"/>
      <c r="V164" s="98"/>
      <c r="W164" s="98"/>
      <c r="X164" s="101" t="str">
        <f t="shared" si="6"/>
        <v/>
      </c>
      <c r="Y164" s="122">
        <v>226</v>
      </c>
      <c r="Z164" s="106" t="s">
        <v>1193</v>
      </c>
      <c r="AA164" s="101"/>
      <c r="AB164" s="101"/>
      <c r="AC164" s="101"/>
      <c r="AD164" s="174"/>
      <c r="AE164" s="174"/>
      <c r="AF164" s="174"/>
      <c r="AG164" s="174"/>
      <c r="AH164" s="174"/>
      <c r="AI164" s="174"/>
      <c r="AJ164" s="174"/>
      <c r="AK164" s="174"/>
      <c r="AL164" s="174"/>
    </row>
    <row r="165" spans="1:38" s="107" customFormat="1">
      <c r="A165" s="97">
        <v>35</v>
      </c>
      <c r="B165" s="103" t="s">
        <v>45</v>
      </c>
      <c r="C165" s="103">
        <v>1982</v>
      </c>
      <c r="D165" s="103" t="s">
        <v>46</v>
      </c>
      <c r="E165" s="99" t="s">
        <v>49</v>
      </c>
      <c r="F165" s="98" t="s">
        <v>50</v>
      </c>
      <c r="G165" s="98" t="s">
        <v>51</v>
      </c>
      <c r="H165" s="98" t="s">
        <v>23</v>
      </c>
      <c r="I165" s="98"/>
      <c r="J165" s="98" t="s">
        <v>1013</v>
      </c>
      <c r="K165" s="98" t="s">
        <v>1134</v>
      </c>
      <c r="L165" s="98" t="s">
        <v>52</v>
      </c>
      <c r="M165" s="98"/>
      <c r="N165" s="98"/>
      <c r="O165" s="98" t="s">
        <v>64</v>
      </c>
      <c r="P165" s="98"/>
      <c r="Q165" s="98"/>
      <c r="R165" s="98"/>
      <c r="S165" s="98"/>
      <c r="T165" s="98"/>
      <c r="U165" s="98"/>
      <c r="V165" s="98"/>
      <c r="W165" s="98"/>
      <c r="X165" s="101" t="str">
        <f t="shared" si="6"/>
        <v/>
      </c>
      <c r="Y165" s="122">
        <v>216</v>
      </c>
      <c r="Z165" s="106" t="s">
        <v>1193</v>
      </c>
      <c r="AA165" s="101"/>
      <c r="AB165" s="101"/>
      <c r="AC165" s="101"/>
      <c r="AD165" s="174"/>
      <c r="AE165" s="174"/>
      <c r="AF165" s="174"/>
      <c r="AG165" s="174"/>
      <c r="AH165" s="174"/>
      <c r="AI165" s="174"/>
      <c r="AJ165" s="174"/>
      <c r="AK165" s="174"/>
      <c r="AL165" s="174"/>
    </row>
    <row r="166" spans="1:38" s="107" customFormat="1">
      <c r="A166" s="97">
        <v>35</v>
      </c>
      <c r="B166" s="103" t="s">
        <v>45</v>
      </c>
      <c r="C166" s="103">
        <v>1982</v>
      </c>
      <c r="D166" s="103" t="s">
        <v>46</v>
      </c>
      <c r="E166" s="99" t="s">
        <v>49</v>
      </c>
      <c r="F166" s="98" t="s">
        <v>50</v>
      </c>
      <c r="G166" s="98" t="s">
        <v>51</v>
      </c>
      <c r="H166" s="98" t="s">
        <v>23</v>
      </c>
      <c r="I166" s="98"/>
      <c r="J166" s="98" t="s">
        <v>1013</v>
      </c>
      <c r="K166" s="98" t="s">
        <v>1134</v>
      </c>
      <c r="L166" s="98" t="s">
        <v>52</v>
      </c>
      <c r="M166" s="98"/>
      <c r="N166" s="98"/>
      <c r="O166" s="98" t="s">
        <v>65</v>
      </c>
      <c r="P166" s="98"/>
      <c r="Q166" s="98"/>
      <c r="R166" s="98"/>
      <c r="S166" s="98"/>
      <c r="T166" s="98"/>
      <c r="U166" s="98"/>
      <c r="V166" s="98"/>
      <c r="W166" s="98"/>
      <c r="X166" s="101" t="str">
        <f t="shared" si="6"/>
        <v/>
      </c>
      <c r="Y166" s="122">
        <v>212</v>
      </c>
      <c r="Z166" s="106" t="s">
        <v>1193</v>
      </c>
      <c r="AA166" s="101"/>
      <c r="AB166" s="101"/>
      <c r="AC166" s="101"/>
      <c r="AD166" s="174"/>
      <c r="AE166" s="174"/>
      <c r="AF166" s="174"/>
      <c r="AG166" s="174"/>
      <c r="AH166" s="174"/>
      <c r="AI166" s="174"/>
      <c r="AJ166" s="174"/>
      <c r="AK166" s="174"/>
      <c r="AL166" s="174"/>
    </row>
    <row r="167" spans="1:38" s="107" customFormat="1">
      <c r="A167" s="97">
        <v>35</v>
      </c>
      <c r="B167" s="103" t="s">
        <v>45</v>
      </c>
      <c r="C167" s="103">
        <v>1982</v>
      </c>
      <c r="D167" s="103" t="s">
        <v>46</v>
      </c>
      <c r="E167" s="99" t="s">
        <v>49</v>
      </c>
      <c r="F167" s="98" t="s">
        <v>50</v>
      </c>
      <c r="G167" s="98" t="s">
        <v>51</v>
      </c>
      <c r="H167" s="98" t="s">
        <v>23</v>
      </c>
      <c r="I167" s="98"/>
      <c r="J167" s="98" t="s">
        <v>1013</v>
      </c>
      <c r="K167" s="98" t="s">
        <v>1134</v>
      </c>
      <c r="L167" s="98" t="s">
        <v>52</v>
      </c>
      <c r="M167" s="98"/>
      <c r="N167" s="98"/>
      <c r="O167" s="98" t="s">
        <v>58</v>
      </c>
      <c r="P167" s="98"/>
      <c r="Q167" s="98"/>
      <c r="R167" s="98"/>
      <c r="S167" s="98"/>
      <c r="T167" s="98"/>
      <c r="U167" s="98"/>
      <c r="V167" s="98"/>
      <c r="W167" s="98"/>
      <c r="X167" s="101" t="str">
        <f t="shared" si="6"/>
        <v/>
      </c>
      <c r="Y167" s="122">
        <v>208</v>
      </c>
      <c r="Z167" s="106" t="s">
        <v>1193</v>
      </c>
      <c r="AA167" s="101"/>
      <c r="AB167" s="101"/>
      <c r="AC167" s="101"/>
      <c r="AD167" s="174"/>
      <c r="AE167" s="174"/>
      <c r="AF167" s="174"/>
      <c r="AG167" s="174"/>
      <c r="AH167" s="174"/>
      <c r="AI167" s="174"/>
      <c r="AJ167" s="174"/>
      <c r="AK167" s="174"/>
      <c r="AL167" s="174"/>
    </row>
    <row r="168" spans="1:38" s="107" customFormat="1">
      <c r="A168" s="97">
        <v>35</v>
      </c>
      <c r="B168" s="103" t="s">
        <v>45</v>
      </c>
      <c r="C168" s="103">
        <v>1982</v>
      </c>
      <c r="D168" s="103" t="s">
        <v>46</v>
      </c>
      <c r="E168" s="99" t="s">
        <v>49</v>
      </c>
      <c r="F168" s="98" t="s">
        <v>50</v>
      </c>
      <c r="G168" s="98" t="s">
        <v>51</v>
      </c>
      <c r="H168" s="98" t="s">
        <v>23</v>
      </c>
      <c r="I168" s="98"/>
      <c r="J168" s="98" t="s">
        <v>1013</v>
      </c>
      <c r="K168" s="98" t="s">
        <v>1134</v>
      </c>
      <c r="L168" s="98" t="s">
        <v>52</v>
      </c>
      <c r="M168" s="98"/>
      <c r="N168" s="98"/>
      <c r="O168" s="98" t="s">
        <v>59</v>
      </c>
      <c r="P168" s="98"/>
      <c r="Q168" s="98"/>
      <c r="R168" s="98"/>
      <c r="S168" s="98"/>
      <c r="T168" s="98"/>
      <c r="U168" s="98"/>
      <c r="V168" s="98"/>
      <c r="W168" s="98"/>
      <c r="X168" s="101" t="str">
        <f t="shared" si="6"/>
        <v/>
      </c>
      <c r="Y168" s="122">
        <v>196</v>
      </c>
      <c r="Z168" s="106" t="s">
        <v>1193</v>
      </c>
      <c r="AA168" s="101"/>
      <c r="AB168" s="101"/>
      <c r="AC168" s="101"/>
      <c r="AD168" s="174"/>
      <c r="AE168" s="174"/>
      <c r="AF168" s="174"/>
      <c r="AG168" s="174"/>
      <c r="AH168" s="174"/>
      <c r="AI168" s="174"/>
      <c r="AJ168" s="174"/>
      <c r="AK168" s="174"/>
      <c r="AL168" s="174"/>
    </row>
    <row r="169" spans="1:38" s="107" customFormat="1">
      <c r="A169" s="97">
        <v>35</v>
      </c>
      <c r="B169" s="103" t="s">
        <v>45</v>
      </c>
      <c r="C169" s="103">
        <v>1982</v>
      </c>
      <c r="D169" s="103" t="s">
        <v>46</v>
      </c>
      <c r="E169" s="99" t="s">
        <v>49</v>
      </c>
      <c r="F169" s="98" t="s">
        <v>50</v>
      </c>
      <c r="G169" s="98" t="s">
        <v>51</v>
      </c>
      <c r="H169" s="98" t="s">
        <v>23</v>
      </c>
      <c r="I169" s="98"/>
      <c r="J169" s="98" t="s">
        <v>1013</v>
      </c>
      <c r="K169" s="98" t="s">
        <v>1134</v>
      </c>
      <c r="L169" s="98" t="s">
        <v>52</v>
      </c>
      <c r="M169" s="98"/>
      <c r="N169" s="98"/>
      <c r="O169" s="98" t="s">
        <v>60</v>
      </c>
      <c r="P169" s="98"/>
      <c r="Q169" s="98"/>
      <c r="R169" s="98"/>
      <c r="S169" s="98"/>
      <c r="T169" s="98"/>
      <c r="U169" s="98"/>
      <c r="V169" s="98"/>
      <c r="W169" s="98"/>
      <c r="X169" s="101" t="str">
        <f t="shared" si="6"/>
        <v/>
      </c>
      <c r="Y169" s="122">
        <v>195</v>
      </c>
      <c r="Z169" s="106" t="s">
        <v>1193</v>
      </c>
      <c r="AA169" s="101"/>
      <c r="AB169" s="101"/>
      <c r="AC169" s="101"/>
      <c r="AD169" s="174"/>
      <c r="AE169" s="174"/>
      <c r="AF169" s="174"/>
      <c r="AG169" s="174"/>
      <c r="AH169" s="174"/>
      <c r="AI169" s="174"/>
      <c r="AJ169" s="174"/>
      <c r="AK169" s="174"/>
      <c r="AL169" s="174"/>
    </row>
    <row r="170" spans="1:38" s="107" customFormat="1">
      <c r="A170" s="97">
        <v>35</v>
      </c>
      <c r="B170" s="103" t="s">
        <v>45</v>
      </c>
      <c r="C170" s="103">
        <v>1982</v>
      </c>
      <c r="D170" s="103" t="s">
        <v>46</v>
      </c>
      <c r="E170" s="99" t="s">
        <v>49</v>
      </c>
      <c r="F170" s="98" t="s">
        <v>50</v>
      </c>
      <c r="G170" s="98" t="s">
        <v>51</v>
      </c>
      <c r="H170" s="98" t="s">
        <v>23</v>
      </c>
      <c r="I170" s="98"/>
      <c r="J170" s="98" t="s">
        <v>1013</v>
      </c>
      <c r="K170" s="98" t="s">
        <v>1134</v>
      </c>
      <c r="L170" s="98" t="s">
        <v>52</v>
      </c>
      <c r="M170" s="98"/>
      <c r="N170" s="98"/>
      <c r="O170" s="98" t="s">
        <v>61</v>
      </c>
      <c r="P170" s="98"/>
      <c r="Q170" s="98"/>
      <c r="R170" s="98"/>
      <c r="S170" s="98"/>
      <c r="T170" s="98"/>
      <c r="U170" s="98"/>
      <c r="V170" s="98"/>
      <c r="W170" s="98"/>
      <c r="X170" s="101" t="str">
        <f t="shared" si="6"/>
        <v/>
      </c>
      <c r="Y170" s="122">
        <v>187</v>
      </c>
      <c r="Z170" s="106" t="s">
        <v>1193</v>
      </c>
      <c r="AA170" s="101"/>
      <c r="AB170" s="101"/>
      <c r="AC170" s="101"/>
      <c r="AD170" s="174"/>
      <c r="AE170" s="174"/>
      <c r="AF170" s="174"/>
      <c r="AG170" s="174"/>
      <c r="AH170" s="174"/>
      <c r="AI170" s="174"/>
      <c r="AJ170" s="174"/>
      <c r="AK170" s="174"/>
      <c r="AL170" s="174"/>
    </row>
    <row r="171" spans="1:38" s="107" customFormat="1">
      <c r="A171" s="97">
        <v>35</v>
      </c>
      <c r="B171" s="103" t="s">
        <v>45</v>
      </c>
      <c r="C171" s="103">
        <v>1982</v>
      </c>
      <c r="D171" s="103" t="s">
        <v>46</v>
      </c>
      <c r="E171" s="99" t="s">
        <v>49</v>
      </c>
      <c r="F171" s="98" t="s">
        <v>50</v>
      </c>
      <c r="G171" s="98" t="s">
        <v>51</v>
      </c>
      <c r="H171" s="98" t="s">
        <v>23</v>
      </c>
      <c r="I171" s="98"/>
      <c r="J171" s="98" t="s">
        <v>1013</v>
      </c>
      <c r="K171" s="98" t="s">
        <v>1134</v>
      </c>
      <c r="L171" s="98" t="s">
        <v>52</v>
      </c>
      <c r="M171" s="98"/>
      <c r="N171" s="98"/>
      <c r="O171" s="98" t="s">
        <v>62</v>
      </c>
      <c r="P171" s="98"/>
      <c r="Q171" s="98"/>
      <c r="R171" s="98"/>
      <c r="S171" s="98"/>
      <c r="T171" s="98"/>
      <c r="U171" s="98"/>
      <c r="V171" s="98"/>
      <c r="W171" s="98"/>
      <c r="X171" s="101" t="str">
        <f t="shared" si="6"/>
        <v/>
      </c>
      <c r="Y171" s="122">
        <v>180</v>
      </c>
      <c r="Z171" s="106" t="s">
        <v>1193</v>
      </c>
      <c r="AA171" s="101"/>
      <c r="AB171" s="101"/>
      <c r="AC171" s="101"/>
      <c r="AD171" s="174"/>
      <c r="AE171" s="174"/>
      <c r="AF171" s="174"/>
      <c r="AG171" s="174"/>
      <c r="AH171" s="174"/>
      <c r="AI171" s="174"/>
      <c r="AJ171" s="174"/>
      <c r="AK171" s="174"/>
      <c r="AL171" s="174"/>
    </row>
    <row r="172" spans="1:38" s="107" customFormat="1">
      <c r="A172" s="97">
        <v>35</v>
      </c>
      <c r="B172" s="103" t="s">
        <v>45</v>
      </c>
      <c r="C172" s="103">
        <v>1982</v>
      </c>
      <c r="D172" s="103" t="s">
        <v>46</v>
      </c>
      <c r="E172" s="99" t="s">
        <v>49</v>
      </c>
      <c r="F172" s="98" t="s">
        <v>50</v>
      </c>
      <c r="G172" s="98" t="s">
        <v>51</v>
      </c>
      <c r="H172" s="98" t="s">
        <v>23</v>
      </c>
      <c r="I172" s="98"/>
      <c r="J172" s="98" t="s">
        <v>1013</v>
      </c>
      <c r="K172" s="98" t="s">
        <v>1134</v>
      </c>
      <c r="L172" s="98" t="s">
        <v>52</v>
      </c>
      <c r="M172" s="98"/>
      <c r="N172" s="98"/>
      <c r="O172" s="98" t="s">
        <v>63</v>
      </c>
      <c r="P172" s="98"/>
      <c r="Q172" s="98"/>
      <c r="R172" s="98"/>
      <c r="S172" s="98"/>
      <c r="T172" s="98"/>
      <c r="U172" s="98"/>
      <c r="V172" s="98"/>
      <c r="W172" s="98"/>
      <c r="X172" s="101" t="str">
        <f t="shared" si="6"/>
        <v/>
      </c>
      <c r="Y172" s="122">
        <v>162</v>
      </c>
      <c r="Z172" s="106" t="s">
        <v>1193</v>
      </c>
      <c r="AA172" s="101"/>
      <c r="AB172" s="101"/>
      <c r="AC172" s="101"/>
      <c r="AD172" s="174"/>
      <c r="AE172" s="174"/>
      <c r="AF172" s="174"/>
      <c r="AG172" s="174"/>
      <c r="AH172" s="174"/>
      <c r="AI172" s="174"/>
      <c r="AJ172" s="174"/>
      <c r="AK172" s="174"/>
      <c r="AL172" s="174"/>
    </row>
    <row r="173" spans="1:38" s="107" customFormat="1">
      <c r="A173" s="97">
        <v>37</v>
      </c>
      <c r="B173" s="103" t="s">
        <v>45</v>
      </c>
      <c r="C173" s="103">
        <v>1982</v>
      </c>
      <c r="D173" s="103" t="s">
        <v>92</v>
      </c>
      <c r="E173" s="99" t="s">
        <v>49</v>
      </c>
      <c r="F173" s="98">
        <v>1989</v>
      </c>
      <c r="G173" s="98" t="s">
        <v>94</v>
      </c>
      <c r="H173" s="98" t="s">
        <v>95</v>
      </c>
      <c r="I173" s="98"/>
      <c r="J173" s="98" t="s">
        <v>1013</v>
      </c>
      <c r="K173" s="98" t="s">
        <v>1134</v>
      </c>
      <c r="L173" s="98" t="s">
        <v>96</v>
      </c>
      <c r="M173" s="98"/>
      <c r="N173" s="98"/>
      <c r="O173" s="98" t="s">
        <v>102</v>
      </c>
      <c r="P173" s="98"/>
      <c r="Q173" s="98"/>
      <c r="R173" s="98"/>
      <c r="S173" s="98"/>
      <c r="T173" s="98"/>
      <c r="U173" s="98"/>
      <c r="V173" s="98"/>
      <c r="W173" s="98">
        <v>154</v>
      </c>
      <c r="X173" s="101" t="str">
        <f t="shared" si="6"/>
        <v/>
      </c>
      <c r="Y173" s="122">
        <f>+W173</f>
        <v>154</v>
      </c>
      <c r="Z173" s="106" t="s">
        <v>1193</v>
      </c>
      <c r="AA173" s="101"/>
      <c r="AB173" s="101"/>
      <c r="AC173" s="101"/>
      <c r="AD173" s="174"/>
      <c r="AE173" s="174"/>
      <c r="AF173" s="174"/>
      <c r="AG173" s="174"/>
      <c r="AH173" s="174"/>
      <c r="AI173" s="174"/>
      <c r="AJ173" s="174"/>
      <c r="AK173" s="174"/>
      <c r="AL173" s="174"/>
    </row>
    <row r="174" spans="1:38" s="107" customFormat="1">
      <c r="A174" s="97">
        <v>46</v>
      </c>
      <c r="B174" s="103" t="s">
        <v>45</v>
      </c>
      <c r="C174" s="103">
        <v>1984</v>
      </c>
      <c r="D174" s="103" t="s">
        <v>113</v>
      </c>
      <c r="E174" s="99" t="s">
        <v>49</v>
      </c>
      <c r="F174" s="98">
        <v>1983</v>
      </c>
      <c r="G174" s="98" t="s">
        <v>116</v>
      </c>
      <c r="H174" s="98" t="s">
        <v>95</v>
      </c>
      <c r="I174" s="98"/>
      <c r="J174" s="98" t="s">
        <v>1013</v>
      </c>
      <c r="K174" s="98" t="s">
        <v>1134</v>
      </c>
      <c r="L174" s="98" t="s">
        <v>117</v>
      </c>
      <c r="M174" s="98"/>
      <c r="N174" s="98"/>
      <c r="O174" s="98" t="s">
        <v>123</v>
      </c>
      <c r="P174" s="98">
        <v>0.89</v>
      </c>
      <c r="Q174" s="98"/>
      <c r="R174" s="98">
        <f>+P174</f>
        <v>0.89</v>
      </c>
      <c r="S174" s="98"/>
      <c r="T174" s="98"/>
      <c r="U174" s="98"/>
      <c r="V174" s="98"/>
      <c r="W174" s="98"/>
      <c r="X174" s="101">
        <f t="shared" si="6"/>
        <v>0.89</v>
      </c>
      <c r="Y174" s="122">
        <v>112</v>
      </c>
      <c r="Z174" s="106" t="str">
        <f t="shared" ref="Z174:Z213" si="8">IF(X174&lt;&gt;"",IF(X174&lt;0.9,"S","F"),"")</f>
        <v>S</v>
      </c>
      <c r="AA174" s="101"/>
      <c r="AB174" s="101"/>
      <c r="AC174" s="101"/>
      <c r="AD174" s="174"/>
      <c r="AE174" s="174"/>
      <c r="AF174" s="174"/>
      <c r="AG174" s="174"/>
      <c r="AH174" s="174"/>
      <c r="AI174" s="174"/>
      <c r="AJ174" s="174"/>
      <c r="AK174" s="174"/>
      <c r="AL174" s="174"/>
    </row>
    <row r="175" spans="1:38" s="107" customFormat="1">
      <c r="A175" s="97">
        <v>46</v>
      </c>
      <c r="B175" s="103" t="s">
        <v>45</v>
      </c>
      <c r="C175" s="103">
        <v>1984</v>
      </c>
      <c r="D175" s="103" t="s">
        <v>113</v>
      </c>
      <c r="E175" s="99" t="s">
        <v>49</v>
      </c>
      <c r="F175" s="98">
        <v>1983</v>
      </c>
      <c r="G175" s="98" t="s">
        <v>116</v>
      </c>
      <c r="H175" s="98" t="s">
        <v>95</v>
      </c>
      <c r="I175" s="98"/>
      <c r="J175" s="98" t="s">
        <v>1013</v>
      </c>
      <c r="K175" s="98" t="s">
        <v>1134</v>
      </c>
      <c r="L175" s="98" t="s">
        <v>117</v>
      </c>
      <c r="M175" s="98"/>
      <c r="N175" s="98"/>
      <c r="O175" s="98" t="s">
        <v>126</v>
      </c>
      <c r="P175" s="98">
        <v>0.89</v>
      </c>
      <c r="Q175" s="98"/>
      <c r="R175" s="98">
        <f>+P175</f>
        <v>0.89</v>
      </c>
      <c r="S175" s="98"/>
      <c r="T175" s="98"/>
      <c r="U175" s="98"/>
      <c r="V175" s="98"/>
      <c r="W175" s="98"/>
      <c r="X175" s="101">
        <f t="shared" si="6"/>
        <v>0.89</v>
      </c>
      <c r="Y175" s="122">
        <v>101</v>
      </c>
      <c r="Z175" s="106" t="str">
        <f t="shared" si="8"/>
        <v>S</v>
      </c>
      <c r="AA175" s="101"/>
      <c r="AB175" s="101"/>
      <c r="AC175" s="101"/>
      <c r="AD175" s="174"/>
      <c r="AE175" s="174"/>
      <c r="AF175" s="174"/>
      <c r="AG175" s="174"/>
      <c r="AH175" s="174"/>
      <c r="AI175" s="174"/>
      <c r="AJ175" s="174"/>
      <c r="AK175" s="174"/>
      <c r="AL175" s="174"/>
    </row>
    <row r="176" spans="1:38" s="107" customFormat="1">
      <c r="A176" s="97">
        <v>46</v>
      </c>
      <c r="B176" s="103" t="s">
        <v>45</v>
      </c>
      <c r="C176" s="103">
        <v>1984</v>
      </c>
      <c r="D176" s="103" t="s">
        <v>113</v>
      </c>
      <c r="E176" s="99" t="s">
        <v>49</v>
      </c>
      <c r="F176" s="98">
        <v>1983</v>
      </c>
      <c r="G176" s="98" t="s">
        <v>116</v>
      </c>
      <c r="H176" s="98" t="s">
        <v>95</v>
      </c>
      <c r="I176" s="98"/>
      <c r="J176" s="98" t="s">
        <v>1013</v>
      </c>
      <c r="K176" s="98" t="s">
        <v>1134</v>
      </c>
      <c r="L176" s="98" t="s">
        <v>117</v>
      </c>
      <c r="M176" s="98"/>
      <c r="N176" s="98"/>
      <c r="O176" s="98" t="s">
        <v>121</v>
      </c>
      <c r="P176" s="98">
        <v>0.88</v>
      </c>
      <c r="Q176" s="98"/>
      <c r="R176" s="98">
        <f>+P176</f>
        <v>0.88</v>
      </c>
      <c r="S176" s="98"/>
      <c r="T176" s="98"/>
      <c r="U176" s="98"/>
      <c r="V176" s="98"/>
      <c r="W176" s="98"/>
      <c r="X176" s="101">
        <f t="shared" si="6"/>
        <v>0.88</v>
      </c>
      <c r="Y176" s="122">
        <v>94</v>
      </c>
      <c r="Z176" s="106" t="str">
        <f t="shared" si="8"/>
        <v>S</v>
      </c>
      <c r="AA176" s="101"/>
      <c r="AB176" s="101"/>
      <c r="AC176" s="101"/>
      <c r="AD176" s="174"/>
      <c r="AE176" s="174"/>
      <c r="AF176" s="174"/>
      <c r="AG176" s="174"/>
      <c r="AH176" s="174"/>
      <c r="AI176" s="174"/>
      <c r="AJ176" s="174"/>
      <c r="AK176" s="174"/>
      <c r="AL176" s="174"/>
    </row>
    <row r="177" spans="1:38" s="107" customFormat="1">
      <c r="A177" s="97">
        <v>46</v>
      </c>
      <c r="B177" s="103" t="s">
        <v>45</v>
      </c>
      <c r="C177" s="103">
        <v>1984</v>
      </c>
      <c r="D177" s="103" t="s">
        <v>113</v>
      </c>
      <c r="E177" s="99" t="s">
        <v>49</v>
      </c>
      <c r="F177" s="98">
        <v>1983</v>
      </c>
      <c r="G177" s="98" t="s">
        <v>116</v>
      </c>
      <c r="H177" s="98" t="s">
        <v>95</v>
      </c>
      <c r="I177" s="98"/>
      <c r="J177" s="98" t="s">
        <v>1013</v>
      </c>
      <c r="K177" s="98" t="s">
        <v>1134</v>
      </c>
      <c r="L177" s="98" t="s">
        <v>117</v>
      </c>
      <c r="M177" s="98"/>
      <c r="N177" s="98"/>
      <c r="O177" s="98" t="s">
        <v>128</v>
      </c>
      <c r="P177" s="98"/>
      <c r="Q177" s="98">
        <v>0.85</v>
      </c>
      <c r="R177" s="98">
        <f>+Q177</f>
        <v>0.85</v>
      </c>
      <c r="S177" s="98"/>
      <c r="T177" s="98"/>
      <c r="U177" s="98"/>
      <c r="V177" s="98"/>
      <c r="W177" s="98"/>
      <c r="X177" s="101">
        <f t="shared" si="6"/>
        <v>0.85</v>
      </c>
      <c r="Y177" s="122">
        <v>130</v>
      </c>
      <c r="Z177" s="106" t="str">
        <f t="shared" si="8"/>
        <v>S</v>
      </c>
      <c r="AA177" s="101"/>
      <c r="AB177" s="101"/>
      <c r="AC177" s="101"/>
      <c r="AD177" s="174"/>
      <c r="AE177" s="174"/>
      <c r="AF177" s="174"/>
      <c r="AG177" s="174"/>
      <c r="AH177" s="174"/>
      <c r="AI177" s="174"/>
      <c r="AJ177" s="174"/>
      <c r="AK177" s="174"/>
      <c r="AL177" s="174"/>
    </row>
    <row r="178" spans="1:38" s="107" customFormat="1">
      <c r="A178" s="97">
        <v>35</v>
      </c>
      <c r="B178" s="103" t="s">
        <v>45</v>
      </c>
      <c r="C178" s="103">
        <v>1982</v>
      </c>
      <c r="D178" s="103" t="s">
        <v>46</v>
      </c>
      <c r="E178" s="99" t="s">
        <v>49</v>
      </c>
      <c r="F178" s="98" t="s">
        <v>50</v>
      </c>
      <c r="G178" s="98" t="s">
        <v>51</v>
      </c>
      <c r="H178" s="98" t="s">
        <v>23</v>
      </c>
      <c r="I178" s="98"/>
      <c r="J178" s="98" t="s">
        <v>1013</v>
      </c>
      <c r="K178" s="98" t="s">
        <v>1134</v>
      </c>
      <c r="L178" s="98" t="s">
        <v>52</v>
      </c>
      <c r="M178" s="98"/>
      <c r="N178" s="98"/>
      <c r="O178" s="98" t="s">
        <v>67</v>
      </c>
      <c r="P178" s="98"/>
      <c r="Q178" s="98">
        <v>0.84</v>
      </c>
      <c r="R178" s="98">
        <f>+Q178</f>
        <v>0.84</v>
      </c>
      <c r="S178" s="98"/>
      <c r="T178" s="98"/>
      <c r="U178" s="98"/>
      <c r="V178" s="98"/>
      <c r="W178" s="98">
        <v>136</v>
      </c>
      <c r="X178" s="101">
        <f t="shared" si="6"/>
        <v>0.84</v>
      </c>
      <c r="Y178" s="122">
        <f>+W178</f>
        <v>136</v>
      </c>
      <c r="Z178" s="106" t="str">
        <f t="shared" si="8"/>
        <v>S</v>
      </c>
      <c r="AA178" s="101"/>
      <c r="AB178" s="101"/>
      <c r="AC178" s="101"/>
      <c r="AD178" s="174"/>
      <c r="AE178" s="174"/>
      <c r="AF178" s="174"/>
      <c r="AG178" s="174"/>
      <c r="AH178" s="174"/>
      <c r="AI178" s="174"/>
      <c r="AJ178" s="174"/>
      <c r="AK178" s="174"/>
      <c r="AL178" s="174"/>
    </row>
    <row r="179" spans="1:38" s="107" customFormat="1">
      <c r="A179" s="97">
        <v>35</v>
      </c>
      <c r="B179" s="103" t="s">
        <v>45</v>
      </c>
      <c r="C179" s="103">
        <v>1982</v>
      </c>
      <c r="D179" s="103" t="s">
        <v>46</v>
      </c>
      <c r="E179" s="99" t="s">
        <v>49</v>
      </c>
      <c r="F179" s="98" t="s">
        <v>50</v>
      </c>
      <c r="G179" s="98" t="s">
        <v>51</v>
      </c>
      <c r="H179" s="98" t="s">
        <v>23</v>
      </c>
      <c r="I179" s="98"/>
      <c r="J179" s="98" t="s">
        <v>1013</v>
      </c>
      <c r="K179" s="98" t="s">
        <v>1134</v>
      </c>
      <c r="L179" s="98" t="s">
        <v>52</v>
      </c>
      <c r="M179" s="98"/>
      <c r="N179" s="98"/>
      <c r="O179" s="98" t="s">
        <v>71</v>
      </c>
      <c r="P179" s="98">
        <v>0.84</v>
      </c>
      <c r="Q179" s="98"/>
      <c r="R179" s="98">
        <f>+P179</f>
        <v>0.84</v>
      </c>
      <c r="S179" s="98"/>
      <c r="T179" s="98"/>
      <c r="U179" s="98"/>
      <c r="V179" s="98">
        <v>127</v>
      </c>
      <c r="W179" s="98"/>
      <c r="X179" s="101">
        <f t="shared" si="6"/>
        <v>0.84</v>
      </c>
      <c r="Y179" s="122">
        <f>+V179</f>
        <v>127</v>
      </c>
      <c r="Z179" s="106" t="str">
        <f t="shared" si="8"/>
        <v>S</v>
      </c>
      <c r="AA179" s="101"/>
      <c r="AB179" s="101"/>
      <c r="AC179" s="101"/>
      <c r="AD179" s="174"/>
      <c r="AE179" s="174"/>
      <c r="AF179" s="174"/>
      <c r="AG179" s="174"/>
      <c r="AH179" s="174"/>
      <c r="AI179" s="174"/>
      <c r="AJ179" s="174"/>
      <c r="AK179" s="174"/>
      <c r="AL179" s="174"/>
    </row>
    <row r="180" spans="1:38" s="107" customFormat="1">
      <c r="A180" s="97">
        <v>46</v>
      </c>
      <c r="B180" s="103" t="s">
        <v>45</v>
      </c>
      <c r="C180" s="103">
        <v>1984</v>
      </c>
      <c r="D180" s="103" t="s">
        <v>113</v>
      </c>
      <c r="E180" s="99" t="s">
        <v>49</v>
      </c>
      <c r="F180" s="98">
        <v>1983</v>
      </c>
      <c r="G180" s="98" t="s">
        <v>116</v>
      </c>
      <c r="H180" s="98" t="s">
        <v>95</v>
      </c>
      <c r="I180" s="98"/>
      <c r="J180" s="98" t="s">
        <v>1013</v>
      </c>
      <c r="K180" s="98" t="s">
        <v>1134</v>
      </c>
      <c r="L180" s="98" t="s">
        <v>117</v>
      </c>
      <c r="M180" s="98"/>
      <c r="N180" s="98"/>
      <c r="O180" s="98" t="s">
        <v>132</v>
      </c>
      <c r="P180" s="98"/>
      <c r="Q180" s="98">
        <v>0.81</v>
      </c>
      <c r="R180" s="98">
        <f t="shared" ref="R180:R198" si="9">+Q180</f>
        <v>0.81</v>
      </c>
      <c r="S180" s="98"/>
      <c r="T180" s="98"/>
      <c r="U180" s="98"/>
      <c r="V180" s="98"/>
      <c r="W180" s="98"/>
      <c r="X180" s="101">
        <f t="shared" si="6"/>
        <v>0.81</v>
      </c>
      <c r="Y180" s="122">
        <v>197</v>
      </c>
      <c r="Z180" s="106" t="str">
        <f t="shared" si="8"/>
        <v>S</v>
      </c>
      <c r="AA180" s="101"/>
      <c r="AB180" s="101"/>
      <c r="AC180" s="101"/>
      <c r="AD180" s="174"/>
      <c r="AE180" s="174"/>
      <c r="AF180" s="174"/>
      <c r="AG180" s="174"/>
      <c r="AH180" s="174"/>
      <c r="AI180" s="174"/>
      <c r="AJ180" s="174"/>
      <c r="AK180" s="174"/>
      <c r="AL180" s="174"/>
    </row>
    <row r="181" spans="1:38" s="107" customFormat="1">
      <c r="A181" s="97">
        <v>46</v>
      </c>
      <c r="B181" s="103" t="s">
        <v>45</v>
      </c>
      <c r="C181" s="103">
        <v>1984</v>
      </c>
      <c r="D181" s="103" t="s">
        <v>113</v>
      </c>
      <c r="E181" s="99" t="s">
        <v>49</v>
      </c>
      <c r="F181" s="98">
        <v>1983</v>
      </c>
      <c r="G181" s="98" t="s">
        <v>116</v>
      </c>
      <c r="H181" s="98" t="s">
        <v>95</v>
      </c>
      <c r="I181" s="98"/>
      <c r="J181" s="98" t="s">
        <v>1013</v>
      </c>
      <c r="K181" s="98" t="s">
        <v>1134</v>
      </c>
      <c r="L181" s="98" t="s">
        <v>117</v>
      </c>
      <c r="M181" s="98"/>
      <c r="N181" s="98"/>
      <c r="O181" s="98" t="s">
        <v>120</v>
      </c>
      <c r="P181" s="98"/>
      <c r="Q181" s="98">
        <v>0.8</v>
      </c>
      <c r="R181" s="98">
        <f t="shared" si="9"/>
        <v>0.8</v>
      </c>
      <c r="S181" s="98"/>
      <c r="T181" s="98"/>
      <c r="U181" s="98"/>
      <c r="V181" s="98"/>
      <c r="W181" s="98"/>
      <c r="X181" s="101">
        <f t="shared" si="6"/>
        <v>0.8</v>
      </c>
      <c r="Y181" s="122">
        <v>198</v>
      </c>
      <c r="Z181" s="106" t="str">
        <f t="shared" si="8"/>
        <v>S</v>
      </c>
      <c r="AA181" s="101"/>
      <c r="AB181" s="101"/>
      <c r="AC181" s="101"/>
      <c r="AD181" s="174"/>
      <c r="AE181" s="174"/>
      <c r="AF181" s="174"/>
      <c r="AG181" s="174"/>
      <c r="AH181" s="174"/>
      <c r="AI181" s="174"/>
      <c r="AJ181" s="174"/>
      <c r="AK181" s="174"/>
      <c r="AL181" s="174"/>
    </row>
    <row r="182" spans="1:38" s="107" customFormat="1">
      <c r="A182" s="97">
        <v>46</v>
      </c>
      <c r="B182" s="103" t="s">
        <v>45</v>
      </c>
      <c r="C182" s="103">
        <v>1984</v>
      </c>
      <c r="D182" s="103" t="s">
        <v>113</v>
      </c>
      <c r="E182" s="99" t="s">
        <v>49</v>
      </c>
      <c r="F182" s="98">
        <v>1983</v>
      </c>
      <c r="G182" s="98" t="s">
        <v>116</v>
      </c>
      <c r="H182" s="98" t="s">
        <v>95</v>
      </c>
      <c r="I182" s="98"/>
      <c r="J182" s="98" t="s">
        <v>1013</v>
      </c>
      <c r="K182" s="98" t="s">
        <v>1134</v>
      </c>
      <c r="L182" s="98" t="s">
        <v>117</v>
      </c>
      <c r="M182" s="98"/>
      <c r="N182" s="98"/>
      <c r="O182" s="98" t="s">
        <v>130</v>
      </c>
      <c r="P182" s="98"/>
      <c r="Q182" s="98">
        <v>0.8</v>
      </c>
      <c r="R182" s="98">
        <f t="shared" si="9"/>
        <v>0.8</v>
      </c>
      <c r="S182" s="98"/>
      <c r="T182" s="98"/>
      <c r="U182" s="98"/>
      <c r="V182" s="98"/>
      <c r="W182" s="98"/>
      <c r="X182" s="101">
        <f t="shared" si="6"/>
        <v>0.8</v>
      </c>
      <c r="Y182" s="122">
        <v>196</v>
      </c>
      <c r="Z182" s="106" t="str">
        <f t="shared" si="8"/>
        <v>S</v>
      </c>
      <c r="AA182" s="101"/>
      <c r="AB182" s="101"/>
      <c r="AC182" s="101"/>
      <c r="AD182" s="174"/>
      <c r="AE182" s="174"/>
      <c r="AF182" s="174"/>
      <c r="AG182" s="174"/>
      <c r="AH182" s="174"/>
      <c r="AI182" s="174"/>
      <c r="AJ182" s="174"/>
      <c r="AK182" s="174"/>
      <c r="AL182" s="174"/>
    </row>
    <row r="183" spans="1:38" s="107" customFormat="1">
      <c r="A183" s="97">
        <v>46</v>
      </c>
      <c r="B183" s="103" t="s">
        <v>45</v>
      </c>
      <c r="C183" s="103">
        <v>1984</v>
      </c>
      <c r="D183" s="103" t="s">
        <v>113</v>
      </c>
      <c r="E183" s="99" t="s">
        <v>49</v>
      </c>
      <c r="F183" s="98">
        <v>1983</v>
      </c>
      <c r="G183" s="98" t="s">
        <v>116</v>
      </c>
      <c r="H183" s="98" t="s">
        <v>95</v>
      </c>
      <c r="I183" s="98"/>
      <c r="J183" s="98" t="s">
        <v>1013</v>
      </c>
      <c r="K183" s="98" t="s">
        <v>1134</v>
      </c>
      <c r="L183" s="98" t="s">
        <v>117</v>
      </c>
      <c r="M183" s="98"/>
      <c r="N183" s="98"/>
      <c r="O183" s="98" t="s">
        <v>122</v>
      </c>
      <c r="P183" s="98"/>
      <c r="Q183" s="98">
        <v>0.79</v>
      </c>
      <c r="R183" s="98">
        <f t="shared" si="9"/>
        <v>0.79</v>
      </c>
      <c r="S183" s="98"/>
      <c r="T183" s="98"/>
      <c r="U183" s="98"/>
      <c r="V183" s="98"/>
      <c r="W183" s="98"/>
      <c r="X183" s="101">
        <f t="shared" si="6"/>
        <v>0.79</v>
      </c>
      <c r="Y183" s="122">
        <v>201</v>
      </c>
      <c r="Z183" s="106" t="str">
        <f t="shared" si="8"/>
        <v>S</v>
      </c>
      <c r="AA183" s="101"/>
      <c r="AB183" s="101"/>
      <c r="AC183" s="101"/>
      <c r="AD183" s="174"/>
      <c r="AE183" s="174"/>
      <c r="AF183" s="174"/>
      <c r="AG183" s="174"/>
      <c r="AH183" s="174"/>
      <c r="AI183" s="174"/>
      <c r="AJ183" s="174"/>
      <c r="AK183" s="174"/>
      <c r="AL183" s="174"/>
    </row>
    <row r="184" spans="1:38" s="107" customFormat="1">
      <c r="A184" s="97">
        <v>46</v>
      </c>
      <c r="B184" s="103" t="s">
        <v>45</v>
      </c>
      <c r="C184" s="103">
        <v>1984</v>
      </c>
      <c r="D184" s="103" t="s">
        <v>113</v>
      </c>
      <c r="E184" s="99" t="s">
        <v>49</v>
      </c>
      <c r="F184" s="98">
        <v>1983</v>
      </c>
      <c r="G184" s="98" t="s">
        <v>116</v>
      </c>
      <c r="H184" s="98" t="s">
        <v>95</v>
      </c>
      <c r="I184" s="98"/>
      <c r="J184" s="98" t="s">
        <v>1013</v>
      </c>
      <c r="K184" s="98" t="s">
        <v>1134</v>
      </c>
      <c r="L184" s="98" t="s">
        <v>117</v>
      </c>
      <c r="M184" s="98"/>
      <c r="N184" s="98"/>
      <c r="O184" s="98" t="s">
        <v>124</v>
      </c>
      <c r="P184" s="98"/>
      <c r="Q184" s="98">
        <v>0.78</v>
      </c>
      <c r="R184" s="98">
        <f t="shared" si="9"/>
        <v>0.78</v>
      </c>
      <c r="S184" s="98"/>
      <c r="T184" s="98"/>
      <c r="U184" s="98"/>
      <c r="V184" s="98"/>
      <c r="W184" s="98"/>
      <c r="X184" s="101">
        <f t="shared" si="6"/>
        <v>0.78</v>
      </c>
      <c r="Y184" s="122">
        <v>222</v>
      </c>
      <c r="Z184" s="106" t="str">
        <f t="shared" si="8"/>
        <v>S</v>
      </c>
      <c r="AA184" s="101"/>
      <c r="AB184" s="101"/>
      <c r="AC184" s="101"/>
      <c r="AD184" s="174"/>
      <c r="AE184" s="174"/>
      <c r="AF184" s="174"/>
      <c r="AG184" s="174"/>
      <c r="AH184" s="174"/>
      <c r="AI184" s="174"/>
      <c r="AJ184" s="174"/>
      <c r="AK184" s="174"/>
      <c r="AL184" s="174"/>
    </row>
    <row r="185" spans="1:38" s="107" customFormat="1">
      <c r="A185" s="97">
        <v>35</v>
      </c>
      <c r="B185" s="103" t="s">
        <v>45</v>
      </c>
      <c r="C185" s="103">
        <v>1982</v>
      </c>
      <c r="D185" s="103" t="s">
        <v>46</v>
      </c>
      <c r="E185" s="99" t="s">
        <v>49</v>
      </c>
      <c r="F185" s="98" t="s">
        <v>50</v>
      </c>
      <c r="G185" s="98" t="s">
        <v>51</v>
      </c>
      <c r="H185" s="98" t="s">
        <v>23</v>
      </c>
      <c r="I185" s="98"/>
      <c r="J185" s="98" t="s">
        <v>1013</v>
      </c>
      <c r="K185" s="98" t="s">
        <v>1134</v>
      </c>
      <c r="L185" s="98" t="s">
        <v>52</v>
      </c>
      <c r="M185" s="98"/>
      <c r="N185" s="98"/>
      <c r="O185" s="98" t="s">
        <v>70</v>
      </c>
      <c r="P185" s="98"/>
      <c r="Q185" s="98">
        <v>0.78</v>
      </c>
      <c r="R185" s="98">
        <f t="shared" si="9"/>
        <v>0.78</v>
      </c>
      <c r="S185" s="98"/>
      <c r="T185" s="98"/>
      <c r="U185" s="98"/>
      <c r="V185" s="98"/>
      <c r="W185" s="98">
        <v>204</v>
      </c>
      <c r="X185" s="101">
        <f t="shared" si="6"/>
        <v>0.78</v>
      </c>
      <c r="Y185" s="122">
        <f>+W185</f>
        <v>204</v>
      </c>
      <c r="Z185" s="106" t="str">
        <f t="shared" si="8"/>
        <v>S</v>
      </c>
      <c r="AA185" s="101"/>
      <c r="AB185" s="101"/>
      <c r="AC185" s="101"/>
      <c r="AD185" s="174"/>
      <c r="AE185" s="174"/>
      <c r="AF185" s="174"/>
      <c r="AG185" s="174"/>
      <c r="AH185" s="174"/>
      <c r="AI185" s="174"/>
      <c r="AJ185" s="174"/>
      <c r="AK185" s="174"/>
      <c r="AL185" s="174"/>
    </row>
    <row r="186" spans="1:38" s="107" customFormat="1">
      <c r="A186" s="97">
        <v>35</v>
      </c>
      <c r="B186" s="103" t="s">
        <v>45</v>
      </c>
      <c r="C186" s="103">
        <v>1982</v>
      </c>
      <c r="D186" s="103" t="s">
        <v>46</v>
      </c>
      <c r="E186" s="99" t="s">
        <v>49</v>
      </c>
      <c r="F186" s="98" t="s">
        <v>50</v>
      </c>
      <c r="G186" s="98" t="s">
        <v>51</v>
      </c>
      <c r="H186" s="98" t="s">
        <v>23</v>
      </c>
      <c r="I186" s="98"/>
      <c r="J186" s="98" t="s">
        <v>1013</v>
      </c>
      <c r="K186" s="98" t="s">
        <v>1134</v>
      </c>
      <c r="L186" s="98" t="s">
        <v>52</v>
      </c>
      <c r="M186" s="98"/>
      <c r="N186" s="98"/>
      <c r="O186" s="98" t="s">
        <v>70</v>
      </c>
      <c r="P186" s="98"/>
      <c r="Q186" s="98">
        <v>0.78</v>
      </c>
      <c r="R186" s="98">
        <f t="shared" si="9"/>
        <v>0.78</v>
      </c>
      <c r="S186" s="98"/>
      <c r="T186" s="98"/>
      <c r="U186" s="98"/>
      <c r="V186" s="98"/>
      <c r="W186" s="98">
        <v>204</v>
      </c>
      <c r="X186" s="101">
        <f t="shared" si="6"/>
        <v>0.78</v>
      </c>
      <c r="Y186" s="122">
        <f>+W186</f>
        <v>204</v>
      </c>
      <c r="Z186" s="106" t="str">
        <f t="shared" si="8"/>
        <v>S</v>
      </c>
      <c r="AA186" s="101"/>
      <c r="AB186" s="101"/>
      <c r="AC186" s="101"/>
      <c r="AD186" s="174"/>
      <c r="AE186" s="174"/>
      <c r="AF186" s="174"/>
      <c r="AG186" s="174"/>
      <c r="AH186" s="174"/>
      <c r="AI186" s="174"/>
      <c r="AJ186" s="174"/>
      <c r="AK186" s="174"/>
      <c r="AL186" s="174"/>
    </row>
    <row r="187" spans="1:38" s="107" customFormat="1">
      <c r="A187" s="97">
        <v>35</v>
      </c>
      <c r="B187" s="103" t="s">
        <v>45</v>
      </c>
      <c r="C187" s="103">
        <v>1982</v>
      </c>
      <c r="D187" s="103" t="s">
        <v>46</v>
      </c>
      <c r="E187" s="99" t="s">
        <v>49</v>
      </c>
      <c r="F187" s="98" t="s">
        <v>50</v>
      </c>
      <c r="G187" s="98" t="s">
        <v>51</v>
      </c>
      <c r="H187" s="98" t="s">
        <v>23</v>
      </c>
      <c r="I187" s="98"/>
      <c r="J187" s="98" t="s">
        <v>1013</v>
      </c>
      <c r="K187" s="98" t="s">
        <v>1134</v>
      </c>
      <c r="L187" s="98" t="s">
        <v>52</v>
      </c>
      <c r="M187" s="98"/>
      <c r="N187" s="98"/>
      <c r="O187" s="98" t="s">
        <v>69</v>
      </c>
      <c r="P187" s="98"/>
      <c r="Q187" s="98">
        <v>0.78</v>
      </c>
      <c r="R187" s="98">
        <f t="shared" si="9"/>
        <v>0.78</v>
      </c>
      <c r="S187" s="98"/>
      <c r="T187" s="98"/>
      <c r="U187" s="98"/>
      <c r="V187" s="98"/>
      <c r="W187" s="98">
        <v>191</v>
      </c>
      <c r="X187" s="101">
        <f t="shared" si="6"/>
        <v>0.78</v>
      </c>
      <c r="Y187" s="122">
        <f>+W187</f>
        <v>191</v>
      </c>
      <c r="Z187" s="106" t="str">
        <f t="shared" si="8"/>
        <v>S</v>
      </c>
      <c r="AA187" s="101"/>
      <c r="AB187" s="101"/>
      <c r="AC187" s="101"/>
      <c r="AD187" s="174"/>
      <c r="AE187" s="174"/>
      <c r="AF187" s="174"/>
      <c r="AG187" s="174"/>
      <c r="AH187" s="174"/>
      <c r="AI187" s="174"/>
      <c r="AJ187" s="174"/>
      <c r="AK187" s="174"/>
      <c r="AL187" s="174"/>
    </row>
    <row r="188" spans="1:38" s="107" customFormat="1">
      <c r="A188" s="97">
        <v>46</v>
      </c>
      <c r="B188" s="103" t="s">
        <v>45</v>
      </c>
      <c r="C188" s="103">
        <v>1984</v>
      </c>
      <c r="D188" s="103" t="s">
        <v>113</v>
      </c>
      <c r="E188" s="99" t="s">
        <v>49</v>
      </c>
      <c r="F188" s="98">
        <v>1983</v>
      </c>
      <c r="G188" s="98" t="s">
        <v>116</v>
      </c>
      <c r="H188" s="98" t="s">
        <v>95</v>
      </c>
      <c r="I188" s="98"/>
      <c r="J188" s="98" t="s">
        <v>1013</v>
      </c>
      <c r="K188" s="98" t="s">
        <v>1134</v>
      </c>
      <c r="L188" s="98" t="s">
        <v>117</v>
      </c>
      <c r="M188" s="98"/>
      <c r="N188" s="98"/>
      <c r="O188" s="98" t="s">
        <v>125</v>
      </c>
      <c r="P188" s="98"/>
      <c r="Q188" s="98">
        <v>0.77</v>
      </c>
      <c r="R188" s="98">
        <f t="shared" si="9"/>
        <v>0.77</v>
      </c>
      <c r="S188" s="98"/>
      <c r="T188" s="98"/>
      <c r="U188" s="98"/>
      <c r="V188" s="98"/>
      <c r="W188" s="98"/>
      <c r="X188" s="101">
        <f t="shared" si="6"/>
        <v>0.77</v>
      </c>
      <c r="Y188" s="122">
        <v>231</v>
      </c>
      <c r="Z188" s="106" t="str">
        <f t="shared" si="8"/>
        <v>S</v>
      </c>
      <c r="AA188" s="101"/>
      <c r="AB188" s="101"/>
      <c r="AC188" s="101"/>
      <c r="AD188" s="174"/>
      <c r="AE188" s="174"/>
      <c r="AF188" s="174"/>
      <c r="AG188" s="174"/>
      <c r="AH188" s="174"/>
      <c r="AI188" s="174"/>
      <c r="AJ188" s="174"/>
      <c r="AK188" s="174"/>
      <c r="AL188" s="174"/>
    </row>
    <row r="189" spans="1:38" s="107" customFormat="1">
      <c r="A189" s="97">
        <v>46</v>
      </c>
      <c r="B189" s="103" t="s">
        <v>45</v>
      </c>
      <c r="C189" s="103">
        <v>1984</v>
      </c>
      <c r="D189" s="103" t="s">
        <v>113</v>
      </c>
      <c r="E189" s="99" t="s">
        <v>49</v>
      </c>
      <c r="F189" s="98">
        <v>1983</v>
      </c>
      <c r="G189" s="98" t="s">
        <v>116</v>
      </c>
      <c r="H189" s="98" t="s">
        <v>95</v>
      </c>
      <c r="I189" s="98"/>
      <c r="J189" s="98" t="s">
        <v>1013</v>
      </c>
      <c r="K189" s="98" t="s">
        <v>1134</v>
      </c>
      <c r="L189" s="98" t="s">
        <v>117</v>
      </c>
      <c r="M189" s="98"/>
      <c r="N189" s="98"/>
      <c r="O189" s="98" t="s">
        <v>129</v>
      </c>
      <c r="P189" s="98"/>
      <c r="Q189" s="98">
        <v>0.77</v>
      </c>
      <c r="R189" s="98">
        <f t="shared" si="9"/>
        <v>0.77</v>
      </c>
      <c r="S189" s="98"/>
      <c r="T189" s="98"/>
      <c r="U189" s="98"/>
      <c r="V189" s="98"/>
      <c r="W189" s="98"/>
      <c r="X189" s="101">
        <f t="shared" si="6"/>
        <v>0.77</v>
      </c>
      <c r="Y189" s="122">
        <v>156</v>
      </c>
      <c r="Z189" s="106" t="str">
        <f t="shared" si="8"/>
        <v>S</v>
      </c>
      <c r="AA189" s="101"/>
      <c r="AB189" s="101"/>
      <c r="AC189" s="101"/>
      <c r="AD189" s="174"/>
      <c r="AE189" s="174"/>
      <c r="AF189" s="174"/>
      <c r="AG189" s="174"/>
      <c r="AH189" s="174"/>
      <c r="AI189" s="174"/>
      <c r="AJ189" s="174"/>
      <c r="AK189" s="174"/>
      <c r="AL189" s="174"/>
    </row>
    <row r="190" spans="1:38" s="107" customFormat="1">
      <c r="A190" s="97">
        <v>46</v>
      </c>
      <c r="B190" s="103" t="s">
        <v>45</v>
      </c>
      <c r="C190" s="103">
        <v>1984</v>
      </c>
      <c r="D190" s="103" t="s">
        <v>113</v>
      </c>
      <c r="E190" s="99" t="s">
        <v>49</v>
      </c>
      <c r="F190" s="98">
        <v>1983</v>
      </c>
      <c r="G190" s="98" t="s">
        <v>116</v>
      </c>
      <c r="H190" s="98" t="s">
        <v>95</v>
      </c>
      <c r="I190" s="98"/>
      <c r="J190" s="98" t="s">
        <v>1013</v>
      </c>
      <c r="K190" s="98" t="s">
        <v>1134</v>
      </c>
      <c r="L190" s="98" t="s">
        <v>117</v>
      </c>
      <c r="M190" s="98"/>
      <c r="N190" s="98"/>
      <c r="O190" s="98" t="s">
        <v>127</v>
      </c>
      <c r="P190" s="98"/>
      <c r="Q190" s="98">
        <v>0.74</v>
      </c>
      <c r="R190" s="98">
        <f t="shared" si="9"/>
        <v>0.74</v>
      </c>
      <c r="S190" s="98"/>
      <c r="T190" s="98"/>
      <c r="U190" s="98"/>
      <c r="V190" s="98"/>
      <c r="W190" s="98"/>
      <c r="X190" s="101">
        <f t="shared" si="6"/>
        <v>0.74</v>
      </c>
      <c r="Y190" s="122">
        <v>260</v>
      </c>
      <c r="Z190" s="106" t="str">
        <f t="shared" si="8"/>
        <v>S</v>
      </c>
      <c r="AA190" s="101"/>
      <c r="AB190" s="101"/>
      <c r="AC190" s="101"/>
      <c r="AD190" s="174"/>
      <c r="AE190" s="174"/>
      <c r="AF190" s="174"/>
      <c r="AG190" s="174"/>
      <c r="AH190" s="174"/>
      <c r="AI190" s="174"/>
      <c r="AJ190" s="174"/>
      <c r="AK190" s="174"/>
      <c r="AL190" s="174"/>
    </row>
    <row r="191" spans="1:38" s="107" customFormat="1">
      <c r="A191" s="97">
        <v>35</v>
      </c>
      <c r="B191" s="103" t="s">
        <v>45</v>
      </c>
      <c r="C191" s="103">
        <v>1982</v>
      </c>
      <c r="D191" s="103" t="s">
        <v>46</v>
      </c>
      <c r="E191" s="99" t="s">
        <v>49</v>
      </c>
      <c r="F191" s="98" t="s">
        <v>50</v>
      </c>
      <c r="G191" s="98" t="s">
        <v>51</v>
      </c>
      <c r="H191" s="98" t="s">
        <v>23</v>
      </c>
      <c r="I191" s="98"/>
      <c r="J191" s="98" t="s">
        <v>1013</v>
      </c>
      <c r="K191" s="98" t="s">
        <v>1134</v>
      </c>
      <c r="L191" s="98" t="s">
        <v>52</v>
      </c>
      <c r="M191" s="98"/>
      <c r="N191" s="98"/>
      <c r="O191" s="98" t="s">
        <v>71</v>
      </c>
      <c r="P191" s="98"/>
      <c r="Q191" s="98">
        <v>0.74</v>
      </c>
      <c r="R191" s="98">
        <f t="shared" si="9"/>
        <v>0.74</v>
      </c>
      <c r="S191" s="98"/>
      <c r="T191" s="98"/>
      <c r="U191" s="98"/>
      <c r="V191" s="98"/>
      <c r="W191" s="98">
        <v>241</v>
      </c>
      <c r="X191" s="101">
        <f t="shared" si="6"/>
        <v>0.74</v>
      </c>
      <c r="Y191" s="122">
        <f>+W191</f>
        <v>241</v>
      </c>
      <c r="Z191" s="106" t="str">
        <f t="shared" si="8"/>
        <v>S</v>
      </c>
      <c r="AA191" s="101"/>
      <c r="AB191" s="101"/>
      <c r="AC191" s="101"/>
      <c r="AD191" s="174"/>
      <c r="AE191" s="174"/>
      <c r="AF191" s="174"/>
      <c r="AG191" s="174"/>
      <c r="AH191" s="174"/>
      <c r="AI191" s="174"/>
      <c r="AJ191" s="174"/>
      <c r="AK191" s="174"/>
      <c r="AL191" s="174"/>
    </row>
    <row r="192" spans="1:38" s="107" customFormat="1">
      <c r="A192" s="97">
        <v>35</v>
      </c>
      <c r="B192" s="103" t="s">
        <v>45</v>
      </c>
      <c r="C192" s="103">
        <v>1982</v>
      </c>
      <c r="D192" s="103" t="s">
        <v>46</v>
      </c>
      <c r="E192" s="99" t="s">
        <v>49</v>
      </c>
      <c r="F192" s="98" t="s">
        <v>50</v>
      </c>
      <c r="G192" s="98" t="s">
        <v>51</v>
      </c>
      <c r="H192" s="98" t="s">
        <v>23</v>
      </c>
      <c r="I192" s="98"/>
      <c r="J192" s="98" t="s">
        <v>1013</v>
      </c>
      <c r="K192" s="98" t="s">
        <v>1134</v>
      </c>
      <c r="L192" s="98" t="s">
        <v>52</v>
      </c>
      <c r="M192" s="98"/>
      <c r="N192" s="98"/>
      <c r="O192" s="98" t="s">
        <v>68</v>
      </c>
      <c r="P192" s="98"/>
      <c r="Q192" s="98">
        <v>0.74</v>
      </c>
      <c r="R192" s="98">
        <f t="shared" si="9"/>
        <v>0.74</v>
      </c>
      <c r="S192" s="98"/>
      <c r="T192" s="98"/>
      <c r="U192" s="98"/>
      <c r="V192" s="98"/>
      <c r="W192" s="98">
        <v>226</v>
      </c>
      <c r="X192" s="101">
        <f t="shared" si="6"/>
        <v>0.74</v>
      </c>
      <c r="Y192" s="122">
        <f>+W192</f>
        <v>226</v>
      </c>
      <c r="Z192" s="106" t="str">
        <f t="shared" si="8"/>
        <v>S</v>
      </c>
      <c r="AA192" s="101"/>
      <c r="AB192" s="101"/>
      <c r="AC192" s="101"/>
      <c r="AD192" s="174"/>
      <c r="AE192" s="174"/>
      <c r="AF192" s="174"/>
      <c r="AG192" s="174"/>
      <c r="AH192" s="174"/>
      <c r="AI192" s="174"/>
      <c r="AJ192" s="174"/>
      <c r="AK192" s="174"/>
      <c r="AL192" s="174"/>
    </row>
    <row r="193" spans="1:38" s="107" customFormat="1">
      <c r="A193" s="97">
        <v>35</v>
      </c>
      <c r="B193" s="103" t="s">
        <v>45</v>
      </c>
      <c r="C193" s="103">
        <v>1982</v>
      </c>
      <c r="D193" s="103" t="s">
        <v>46</v>
      </c>
      <c r="E193" s="99" t="s">
        <v>49</v>
      </c>
      <c r="F193" s="98" t="s">
        <v>50</v>
      </c>
      <c r="G193" s="98" t="s">
        <v>51</v>
      </c>
      <c r="H193" s="98" t="s">
        <v>23</v>
      </c>
      <c r="I193" s="98"/>
      <c r="J193" s="98" t="s">
        <v>1013</v>
      </c>
      <c r="K193" s="98" t="s">
        <v>1134</v>
      </c>
      <c r="L193" s="98" t="s">
        <v>52</v>
      </c>
      <c r="M193" s="98"/>
      <c r="N193" s="98"/>
      <c r="O193" s="98" t="s">
        <v>68</v>
      </c>
      <c r="P193" s="98"/>
      <c r="Q193" s="98">
        <v>0.74</v>
      </c>
      <c r="R193" s="98">
        <f t="shared" si="9"/>
        <v>0.74</v>
      </c>
      <c r="S193" s="98"/>
      <c r="T193" s="98"/>
      <c r="U193" s="98"/>
      <c r="V193" s="98"/>
      <c r="W193" s="98">
        <v>226</v>
      </c>
      <c r="X193" s="101">
        <f t="shared" si="6"/>
        <v>0.74</v>
      </c>
      <c r="Y193" s="122">
        <f>+W193</f>
        <v>226</v>
      </c>
      <c r="Z193" s="106" t="str">
        <f t="shared" si="8"/>
        <v>S</v>
      </c>
      <c r="AA193" s="101"/>
      <c r="AB193" s="101"/>
      <c r="AC193" s="101"/>
      <c r="AD193" s="174"/>
      <c r="AE193" s="174"/>
      <c r="AF193" s="174"/>
      <c r="AG193" s="174"/>
      <c r="AH193" s="174"/>
      <c r="AI193" s="174"/>
      <c r="AJ193" s="174"/>
      <c r="AK193" s="174"/>
      <c r="AL193" s="174"/>
    </row>
    <row r="194" spans="1:38" s="107" customFormat="1">
      <c r="A194" s="97">
        <v>35</v>
      </c>
      <c r="B194" s="103" t="s">
        <v>45</v>
      </c>
      <c r="C194" s="103">
        <v>1982</v>
      </c>
      <c r="D194" s="103" t="s">
        <v>46</v>
      </c>
      <c r="E194" s="99" t="s">
        <v>49</v>
      </c>
      <c r="F194" s="98" t="s">
        <v>50</v>
      </c>
      <c r="G194" s="98" t="s">
        <v>51</v>
      </c>
      <c r="H194" s="98" t="s">
        <v>23</v>
      </c>
      <c r="I194" s="98"/>
      <c r="J194" s="98" t="s">
        <v>1013</v>
      </c>
      <c r="K194" s="98" t="s">
        <v>1134</v>
      </c>
      <c r="L194" s="98" t="s">
        <v>52</v>
      </c>
      <c r="M194" s="98"/>
      <c r="N194" s="98"/>
      <c r="O194" s="98" t="s">
        <v>72</v>
      </c>
      <c r="P194" s="98"/>
      <c r="Q194" s="98">
        <v>0.71</v>
      </c>
      <c r="R194" s="98">
        <f t="shared" si="9"/>
        <v>0.71</v>
      </c>
      <c r="S194" s="98"/>
      <c r="T194" s="98"/>
      <c r="U194" s="98"/>
      <c r="V194" s="98"/>
      <c r="W194" s="98">
        <v>266</v>
      </c>
      <c r="X194" s="101">
        <f t="shared" ref="X194:X213" si="10">IF(R194&lt;&gt;0,IF(R194&gt;1,R194/100,R194),IF(U194&lt;&gt;0,IF(U194&gt;1,U194/100,U194),""))</f>
        <v>0.71</v>
      </c>
      <c r="Y194" s="122">
        <f>+W194</f>
        <v>266</v>
      </c>
      <c r="Z194" s="106" t="str">
        <f t="shared" si="8"/>
        <v>S</v>
      </c>
      <c r="AA194" s="101"/>
      <c r="AB194" s="101"/>
      <c r="AC194" s="101"/>
      <c r="AD194" s="174"/>
      <c r="AE194" s="174"/>
      <c r="AF194" s="174"/>
      <c r="AG194" s="174"/>
      <c r="AH194" s="174"/>
      <c r="AI194" s="174"/>
      <c r="AJ194" s="174"/>
      <c r="AK194" s="174"/>
      <c r="AL194" s="174"/>
    </row>
    <row r="195" spans="1:38" s="107" customFormat="1">
      <c r="A195" s="97">
        <v>35</v>
      </c>
      <c r="B195" s="103" t="s">
        <v>45</v>
      </c>
      <c r="C195" s="103">
        <v>1982</v>
      </c>
      <c r="D195" s="103" t="s">
        <v>46</v>
      </c>
      <c r="E195" s="99" t="s">
        <v>49</v>
      </c>
      <c r="F195" s="98" t="s">
        <v>50</v>
      </c>
      <c r="G195" s="98" t="s">
        <v>51</v>
      </c>
      <c r="H195" s="98" t="s">
        <v>23</v>
      </c>
      <c r="I195" s="98"/>
      <c r="J195" s="98" t="s">
        <v>1013</v>
      </c>
      <c r="K195" s="98" t="s">
        <v>1134</v>
      </c>
      <c r="L195" s="98" t="s">
        <v>52</v>
      </c>
      <c r="M195" s="98"/>
      <c r="N195" s="98"/>
      <c r="O195" s="98" t="s">
        <v>72</v>
      </c>
      <c r="P195" s="98"/>
      <c r="Q195" s="98">
        <v>0.71</v>
      </c>
      <c r="R195" s="98">
        <f t="shared" si="9"/>
        <v>0.71</v>
      </c>
      <c r="S195" s="98"/>
      <c r="T195" s="98"/>
      <c r="U195" s="98"/>
      <c r="V195" s="98"/>
      <c r="W195" s="98">
        <v>266</v>
      </c>
      <c r="X195" s="101">
        <f t="shared" si="10"/>
        <v>0.71</v>
      </c>
      <c r="Y195" s="122">
        <f>+W195</f>
        <v>266</v>
      </c>
      <c r="Z195" s="106" t="str">
        <f t="shared" si="8"/>
        <v>S</v>
      </c>
      <c r="AA195" s="101"/>
      <c r="AB195" s="101"/>
      <c r="AC195" s="101"/>
      <c r="AD195" s="174"/>
      <c r="AE195" s="174"/>
      <c r="AF195" s="174"/>
      <c r="AG195" s="174"/>
      <c r="AH195" s="174"/>
      <c r="AI195" s="174"/>
      <c r="AJ195" s="174"/>
      <c r="AK195" s="174"/>
      <c r="AL195" s="174"/>
    </row>
    <row r="196" spans="1:38" s="107" customFormat="1">
      <c r="A196" s="97">
        <v>46</v>
      </c>
      <c r="B196" s="103" t="s">
        <v>45</v>
      </c>
      <c r="C196" s="103">
        <v>1984</v>
      </c>
      <c r="D196" s="103" t="s">
        <v>113</v>
      </c>
      <c r="E196" s="99" t="s">
        <v>49</v>
      </c>
      <c r="F196" s="98">
        <v>1983</v>
      </c>
      <c r="G196" s="98" t="s">
        <v>116</v>
      </c>
      <c r="H196" s="98" t="s">
        <v>95</v>
      </c>
      <c r="I196" s="98"/>
      <c r="J196" s="98" t="s">
        <v>1013</v>
      </c>
      <c r="K196" s="98" t="s">
        <v>1134</v>
      </c>
      <c r="L196" s="98" t="s">
        <v>117</v>
      </c>
      <c r="M196" s="98"/>
      <c r="N196" s="98"/>
      <c r="O196" s="98" t="s">
        <v>133</v>
      </c>
      <c r="P196" s="98"/>
      <c r="Q196" s="98">
        <v>0.69</v>
      </c>
      <c r="R196" s="98">
        <f t="shared" si="9"/>
        <v>0.69</v>
      </c>
      <c r="S196" s="98"/>
      <c r="T196" s="98"/>
      <c r="U196" s="98"/>
      <c r="V196" s="98"/>
      <c r="W196" s="98"/>
      <c r="X196" s="101">
        <f t="shared" si="10"/>
        <v>0.69</v>
      </c>
      <c r="Y196" s="122">
        <v>177</v>
      </c>
      <c r="Z196" s="106" t="str">
        <f t="shared" si="8"/>
        <v>S</v>
      </c>
      <c r="AA196" s="101"/>
      <c r="AB196" s="101"/>
      <c r="AC196" s="101"/>
      <c r="AD196" s="174"/>
      <c r="AE196" s="174"/>
      <c r="AF196" s="174"/>
      <c r="AG196" s="174"/>
      <c r="AH196" s="174"/>
      <c r="AI196" s="174"/>
      <c r="AJ196" s="174"/>
      <c r="AK196" s="174"/>
      <c r="AL196" s="174"/>
    </row>
    <row r="197" spans="1:38" s="107" customFormat="1">
      <c r="A197" s="97">
        <v>46</v>
      </c>
      <c r="B197" s="103" t="s">
        <v>45</v>
      </c>
      <c r="C197" s="103">
        <v>1984</v>
      </c>
      <c r="D197" s="103" t="s">
        <v>113</v>
      </c>
      <c r="E197" s="99" t="s">
        <v>49</v>
      </c>
      <c r="F197" s="98">
        <v>1983</v>
      </c>
      <c r="G197" s="98" t="s">
        <v>116</v>
      </c>
      <c r="H197" s="98" t="s">
        <v>95</v>
      </c>
      <c r="I197" s="98"/>
      <c r="J197" s="98" t="s">
        <v>1013</v>
      </c>
      <c r="K197" s="98" t="s">
        <v>1134</v>
      </c>
      <c r="L197" s="98" t="s">
        <v>117</v>
      </c>
      <c r="M197" s="98"/>
      <c r="N197" s="98"/>
      <c r="O197" s="98" t="s">
        <v>119</v>
      </c>
      <c r="P197" s="98"/>
      <c r="Q197" s="98">
        <v>0.66</v>
      </c>
      <c r="R197" s="98">
        <f t="shared" si="9"/>
        <v>0.66</v>
      </c>
      <c r="S197" s="98"/>
      <c r="T197" s="98"/>
      <c r="U197" s="98"/>
      <c r="V197" s="98"/>
      <c r="W197" s="98"/>
      <c r="X197" s="101">
        <f t="shared" si="10"/>
        <v>0.66</v>
      </c>
      <c r="Y197" s="122">
        <v>358</v>
      </c>
      <c r="Z197" s="106" t="str">
        <f t="shared" si="8"/>
        <v>S</v>
      </c>
      <c r="AA197" s="101"/>
      <c r="AB197" s="101"/>
      <c r="AC197" s="101"/>
      <c r="AD197" s="174"/>
      <c r="AE197" s="174"/>
      <c r="AF197" s="174"/>
      <c r="AG197" s="174"/>
      <c r="AH197" s="174"/>
      <c r="AI197" s="174"/>
      <c r="AJ197" s="174"/>
      <c r="AK197" s="174"/>
      <c r="AL197" s="174"/>
    </row>
    <row r="198" spans="1:38" s="107" customFormat="1">
      <c r="A198" s="97">
        <v>46</v>
      </c>
      <c r="B198" s="103" t="s">
        <v>45</v>
      </c>
      <c r="C198" s="103">
        <v>1984</v>
      </c>
      <c r="D198" s="103" t="s">
        <v>113</v>
      </c>
      <c r="E198" s="99" t="s">
        <v>49</v>
      </c>
      <c r="F198" s="98">
        <v>1983</v>
      </c>
      <c r="G198" s="98" t="s">
        <v>116</v>
      </c>
      <c r="H198" s="98" t="s">
        <v>95</v>
      </c>
      <c r="I198" s="98"/>
      <c r="J198" s="98" t="s">
        <v>1013</v>
      </c>
      <c r="K198" s="98" t="s">
        <v>1134</v>
      </c>
      <c r="L198" s="98" t="s">
        <v>117</v>
      </c>
      <c r="M198" s="98"/>
      <c r="N198" s="98"/>
      <c r="O198" s="98" t="s">
        <v>118</v>
      </c>
      <c r="P198" s="98"/>
      <c r="Q198" s="98">
        <v>0.63</v>
      </c>
      <c r="R198" s="98">
        <f t="shared" si="9"/>
        <v>0.63</v>
      </c>
      <c r="S198" s="98"/>
      <c r="T198" s="98"/>
      <c r="U198" s="98"/>
      <c r="V198" s="98"/>
      <c r="W198" s="98"/>
      <c r="X198" s="101">
        <f t="shared" si="10"/>
        <v>0.63</v>
      </c>
      <c r="Y198" s="122">
        <v>359</v>
      </c>
      <c r="Z198" s="106" t="str">
        <f t="shared" si="8"/>
        <v>S</v>
      </c>
      <c r="AA198" s="101"/>
      <c r="AB198" s="101"/>
      <c r="AC198" s="101"/>
      <c r="AD198" s="174"/>
      <c r="AE198" s="174"/>
      <c r="AF198" s="174"/>
      <c r="AG198" s="174"/>
      <c r="AH198" s="174"/>
      <c r="AI198" s="174"/>
      <c r="AJ198" s="174"/>
      <c r="AK198" s="174"/>
      <c r="AL198" s="174"/>
    </row>
    <row r="199" spans="1:38" s="45" customFormat="1">
      <c r="A199" s="53">
        <v>101</v>
      </c>
      <c r="B199" s="73" t="s">
        <v>298</v>
      </c>
      <c r="C199" s="54">
        <v>1994</v>
      </c>
      <c r="D199" s="73" t="s">
        <v>299</v>
      </c>
      <c r="E199" s="56" t="s">
        <v>172</v>
      </c>
      <c r="F199" s="54">
        <v>1994</v>
      </c>
      <c r="G199" s="54" t="s">
        <v>301</v>
      </c>
      <c r="H199" s="54" t="s">
        <v>302</v>
      </c>
      <c r="I199" s="54" t="s">
        <v>1014</v>
      </c>
      <c r="J199" s="54" t="s">
        <v>1013</v>
      </c>
      <c r="K199" s="54"/>
      <c r="L199" s="54" t="s">
        <v>303</v>
      </c>
      <c r="M199" s="54"/>
      <c r="N199" s="54"/>
      <c r="O199" s="54" t="s">
        <v>310</v>
      </c>
      <c r="P199" s="54"/>
      <c r="Q199" s="54"/>
      <c r="R199" s="54"/>
      <c r="S199" s="54"/>
      <c r="T199" s="54"/>
      <c r="U199" s="54">
        <v>0.97</v>
      </c>
      <c r="V199" s="54"/>
      <c r="W199" s="54"/>
      <c r="X199" s="66">
        <f t="shared" si="10"/>
        <v>0.97</v>
      </c>
      <c r="Y199" s="71">
        <v>37</v>
      </c>
      <c r="Z199" s="192" t="str">
        <f t="shared" si="8"/>
        <v>F</v>
      </c>
      <c r="AA199" s="196"/>
      <c r="AB199" s="196" t="s">
        <v>1206</v>
      </c>
      <c r="AC199" s="196" t="s">
        <v>1207</v>
      </c>
      <c r="AD199" s="196" t="s">
        <v>1208</v>
      </c>
      <c r="AE199" s="196" t="s">
        <v>1209</v>
      </c>
      <c r="AF199" s="196" t="s">
        <v>1210</v>
      </c>
      <c r="AG199" s="196" t="s">
        <v>1211</v>
      </c>
      <c r="AH199" s="172"/>
      <c r="AI199" s="172"/>
      <c r="AJ199" s="172"/>
      <c r="AK199" s="172"/>
      <c r="AL199" s="172"/>
    </row>
    <row r="200" spans="1:38" s="45" customFormat="1">
      <c r="A200" s="53">
        <v>101</v>
      </c>
      <c r="B200" s="73" t="s">
        <v>298</v>
      </c>
      <c r="C200" s="54">
        <v>1994</v>
      </c>
      <c r="D200" s="73" t="s">
        <v>299</v>
      </c>
      <c r="E200" s="56" t="s">
        <v>172</v>
      </c>
      <c r="F200" s="54">
        <v>1994</v>
      </c>
      <c r="G200" s="54" t="s">
        <v>301</v>
      </c>
      <c r="H200" s="54" t="s">
        <v>302</v>
      </c>
      <c r="I200" s="54" t="s">
        <v>1014</v>
      </c>
      <c r="J200" s="54" t="s">
        <v>1013</v>
      </c>
      <c r="K200" s="54"/>
      <c r="L200" s="54" t="s">
        <v>303</v>
      </c>
      <c r="M200" s="54"/>
      <c r="N200" s="54"/>
      <c r="O200" s="54" t="s">
        <v>307</v>
      </c>
      <c r="P200" s="54"/>
      <c r="Q200" s="54"/>
      <c r="R200" s="54"/>
      <c r="S200" s="54"/>
      <c r="T200" s="54"/>
      <c r="U200" s="54">
        <v>0.96</v>
      </c>
      <c r="V200" s="54"/>
      <c r="W200" s="54"/>
      <c r="X200" s="66">
        <f t="shared" si="10"/>
        <v>0.96</v>
      </c>
      <c r="Y200" s="71">
        <v>45</v>
      </c>
      <c r="Z200" s="192" t="str">
        <f t="shared" si="8"/>
        <v>F</v>
      </c>
      <c r="AA200" s="196" t="s">
        <v>1335</v>
      </c>
      <c r="AB200" s="197">
        <f>AVERAGE($Y$199:$Y$204)</f>
        <v>60.166666666666664</v>
      </c>
      <c r="AC200" s="197">
        <f>MEDIAN($Y$199:$Y$204)</f>
        <v>66.5</v>
      </c>
      <c r="AD200" s="197">
        <f>MAX($Y$199:$Y$204)</f>
        <v>73</v>
      </c>
      <c r="AE200" s="197">
        <f>MIN($Y$199:$Y$204)</f>
        <v>37</v>
      </c>
      <c r="AF200" s="197">
        <f>STDEV($Y$199:$Y$204)</f>
        <v>15.727894540168636</v>
      </c>
      <c r="AG200" s="198">
        <f>COUNT($Y$199:$Y$204)</f>
        <v>6</v>
      </c>
      <c r="AH200" s="172"/>
      <c r="AI200" s="172"/>
      <c r="AJ200" s="172"/>
      <c r="AK200" s="172"/>
      <c r="AL200" s="172"/>
    </row>
    <row r="201" spans="1:38" s="45" customFormat="1">
      <c r="A201" s="53">
        <v>101</v>
      </c>
      <c r="B201" s="73" t="s">
        <v>298</v>
      </c>
      <c r="C201" s="54">
        <v>1994</v>
      </c>
      <c r="D201" s="73" t="s">
        <v>299</v>
      </c>
      <c r="E201" s="56" t="s">
        <v>172</v>
      </c>
      <c r="F201" s="54">
        <v>1994</v>
      </c>
      <c r="G201" s="54" t="s">
        <v>301</v>
      </c>
      <c r="H201" s="54" t="s">
        <v>302</v>
      </c>
      <c r="I201" s="54" t="s">
        <v>1014</v>
      </c>
      <c r="J201" s="54" t="s">
        <v>1013</v>
      </c>
      <c r="K201" s="54"/>
      <c r="L201" s="54" t="s">
        <v>303</v>
      </c>
      <c r="M201" s="54"/>
      <c r="N201" s="54"/>
      <c r="O201" s="54" t="s">
        <v>305</v>
      </c>
      <c r="P201" s="54"/>
      <c r="Q201" s="54"/>
      <c r="R201" s="54"/>
      <c r="S201" s="54"/>
      <c r="T201" s="54"/>
      <c r="U201" s="54">
        <v>0.95</v>
      </c>
      <c r="V201" s="54"/>
      <c r="W201" s="54"/>
      <c r="X201" s="66">
        <f t="shared" si="10"/>
        <v>0.95</v>
      </c>
      <c r="Y201" s="71">
        <v>61</v>
      </c>
      <c r="Z201" s="192" t="str">
        <f t="shared" si="8"/>
        <v>F</v>
      </c>
      <c r="AA201" s="196" t="s">
        <v>1336</v>
      </c>
      <c r="AB201" s="197">
        <f>AVERAGE($Y$205:$Y$206)</f>
        <v>177</v>
      </c>
      <c r="AC201" s="197">
        <f>MEDIAN($Y$205:$Y$206)</f>
        <v>177</v>
      </c>
      <c r="AD201" s="197">
        <f>MAX($Y$205:$Y$206)</f>
        <v>196</v>
      </c>
      <c r="AE201" s="197">
        <f>MIN($Y$205:$Y$206)</f>
        <v>158</v>
      </c>
      <c r="AF201" s="197">
        <f>STDEV($Y$205:$Y$206)</f>
        <v>26.870057685088806</v>
      </c>
      <c r="AG201" s="198">
        <f>COUNT($Y$205:$Y$206)</f>
        <v>2</v>
      </c>
      <c r="AH201" s="172"/>
      <c r="AI201" s="172"/>
      <c r="AJ201" s="172"/>
      <c r="AK201" s="172"/>
      <c r="AL201" s="172"/>
    </row>
    <row r="202" spans="1:38" s="45" customFormat="1">
      <c r="A202" s="53">
        <v>101</v>
      </c>
      <c r="B202" s="73" t="s">
        <v>298</v>
      </c>
      <c r="C202" s="54">
        <v>1994</v>
      </c>
      <c r="D202" s="73" t="s">
        <v>299</v>
      </c>
      <c r="E202" s="56" t="s">
        <v>172</v>
      </c>
      <c r="F202" s="54">
        <v>1994</v>
      </c>
      <c r="G202" s="54" t="s">
        <v>301</v>
      </c>
      <c r="H202" s="54" t="s">
        <v>302</v>
      </c>
      <c r="I202" s="54" t="s">
        <v>1014</v>
      </c>
      <c r="J202" s="54" t="s">
        <v>1013</v>
      </c>
      <c r="K202" s="54"/>
      <c r="L202" s="54" t="s">
        <v>303</v>
      </c>
      <c r="M202" s="54"/>
      <c r="N202" s="54"/>
      <c r="O202" s="54" t="s">
        <v>304</v>
      </c>
      <c r="P202" s="54"/>
      <c r="Q202" s="54"/>
      <c r="R202" s="54"/>
      <c r="S202" s="54"/>
      <c r="T202" s="54"/>
      <c r="U202" s="54">
        <v>0.94</v>
      </c>
      <c r="V202" s="54"/>
      <c r="W202" s="54"/>
      <c r="X202" s="66">
        <f t="shared" si="10"/>
        <v>0.94</v>
      </c>
      <c r="Y202" s="71">
        <v>73</v>
      </c>
      <c r="Z202" s="192" t="str">
        <f t="shared" si="8"/>
        <v>F</v>
      </c>
      <c r="AA202" s="172" t="s">
        <v>1329</v>
      </c>
      <c r="AB202" s="66"/>
      <c r="AC202" s="66"/>
      <c r="AD202" s="172"/>
      <c r="AE202" s="172"/>
      <c r="AF202" s="172"/>
      <c r="AG202" s="172"/>
      <c r="AH202" s="172"/>
      <c r="AI202" s="172"/>
      <c r="AJ202" s="172"/>
      <c r="AK202" s="172"/>
      <c r="AL202" s="172"/>
    </row>
    <row r="203" spans="1:38" s="45" customFormat="1">
      <c r="A203" s="53">
        <v>101</v>
      </c>
      <c r="B203" s="73" t="s">
        <v>298</v>
      </c>
      <c r="C203" s="54">
        <v>1994</v>
      </c>
      <c r="D203" s="73" t="s">
        <v>299</v>
      </c>
      <c r="E203" s="56" t="s">
        <v>172</v>
      </c>
      <c r="F203" s="54">
        <v>1994</v>
      </c>
      <c r="G203" s="54" t="s">
        <v>301</v>
      </c>
      <c r="H203" s="54" t="s">
        <v>302</v>
      </c>
      <c r="I203" s="54" t="s">
        <v>1014</v>
      </c>
      <c r="J203" s="54" t="s">
        <v>1013</v>
      </c>
      <c r="K203" s="54"/>
      <c r="L203" s="54" t="s">
        <v>303</v>
      </c>
      <c r="M203" s="54"/>
      <c r="N203" s="54"/>
      <c r="O203" s="54" t="s">
        <v>308</v>
      </c>
      <c r="P203" s="54"/>
      <c r="Q203" s="54"/>
      <c r="R203" s="54"/>
      <c r="S203" s="54"/>
      <c r="T203" s="54"/>
      <c r="U203" s="54">
        <v>0.94</v>
      </c>
      <c r="V203" s="54"/>
      <c r="W203" s="54"/>
      <c r="X203" s="66">
        <f t="shared" si="10"/>
        <v>0.94</v>
      </c>
      <c r="Y203" s="71">
        <v>73</v>
      </c>
      <c r="Z203" s="192" t="str">
        <f t="shared" si="8"/>
        <v>F</v>
      </c>
      <c r="AA203" s="66"/>
      <c r="AB203" s="66"/>
      <c r="AC203" s="66"/>
      <c r="AD203" s="172"/>
      <c r="AE203" s="172"/>
      <c r="AF203" s="172"/>
      <c r="AG203" s="172"/>
      <c r="AH203" s="172"/>
      <c r="AI203" s="172"/>
      <c r="AJ203" s="172"/>
      <c r="AK203" s="172"/>
      <c r="AL203" s="172"/>
    </row>
    <row r="204" spans="1:38" s="45" customFormat="1">
      <c r="A204" s="53">
        <v>101</v>
      </c>
      <c r="B204" s="73" t="s">
        <v>298</v>
      </c>
      <c r="C204" s="54">
        <v>1994</v>
      </c>
      <c r="D204" s="73" t="s">
        <v>299</v>
      </c>
      <c r="E204" s="56" t="s">
        <v>172</v>
      </c>
      <c r="F204" s="54">
        <v>1994</v>
      </c>
      <c r="G204" s="54" t="s">
        <v>301</v>
      </c>
      <c r="H204" s="54" t="s">
        <v>302</v>
      </c>
      <c r="I204" s="54" t="s">
        <v>1014</v>
      </c>
      <c r="J204" s="54" t="s">
        <v>1013</v>
      </c>
      <c r="K204" s="54"/>
      <c r="L204" s="54" t="s">
        <v>303</v>
      </c>
      <c r="M204" s="54"/>
      <c r="N204" s="54"/>
      <c r="O204" s="54" t="s">
        <v>306</v>
      </c>
      <c r="P204" s="54"/>
      <c r="Q204" s="54"/>
      <c r="R204" s="54"/>
      <c r="S204" s="54"/>
      <c r="T204" s="54"/>
      <c r="U204" s="54">
        <v>0.94</v>
      </c>
      <c r="V204" s="54"/>
      <c r="W204" s="54"/>
      <c r="X204" s="66">
        <f t="shared" si="10"/>
        <v>0.94</v>
      </c>
      <c r="Y204" s="71">
        <v>72</v>
      </c>
      <c r="Z204" s="192" t="str">
        <f t="shared" si="8"/>
        <v>F</v>
      </c>
      <c r="AA204" s="66"/>
      <c r="AB204" s="66"/>
      <c r="AC204" s="66"/>
      <c r="AD204" s="172"/>
      <c r="AE204" s="172"/>
      <c r="AF204" s="172"/>
      <c r="AG204" s="172"/>
      <c r="AH204" s="172"/>
      <c r="AI204" s="172"/>
      <c r="AJ204" s="172"/>
      <c r="AK204" s="172"/>
      <c r="AL204" s="172"/>
    </row>
    <row r="205" spans="1:38" s="45" customFormat="1">
      <c r="A205" s="53">
        <v>101</v>
      </c>
      <c r="B205" s="73" t="s">
        <v>298</v>
      </c>
      <c r="C205" s="54">
        <v>1994</v>
      </c>
      <c r="D205" s="73" t="s">
        <v>299</v>
      </c>
      <c r="E205" s="56" t="s">
        <v>172</v>
      </c>
      <c r="F205" s="54">
        <v>1994</v>
      </c>
      <c r="G205" s="54" t="s">
        <v>301</v>
      </c>
      <c r="H205" s="54" t="s">
        <v>302</v>
      </c>
      <c r="I205" s="54" t="s">
        <v>1014</v>
      </c>
      <c r="J205" s="54" t="s">
        <v>1013</v>
      </c>
      <c r="K205" s="54"/>
      <c r="L205" s="54" t="s">
        <v>303</v>
      </c>
      <c r="M205" s="54"/>
      <c r="N205" s="54"/>
      <c r="O205" s="54" t="s">
        <v>309</v>
      </c>
      <c r="P205" s="54"/>
      <c r="Q205" s="54"/>
      <c r="R205" s="54"/>
      <c r="S205" s="54"/>
      <c r="T205" s="54"/>
      <c r="U205" s="54">
        <v>0.86</v>
      </c>
      <c r="V205" s="54"/>
      <c r="W205" s="54"/>
      <c r="X205" s="66">
        <f t="shared" si="10"/>
        <v>0.86</v>
      </c>
      <c r="Y205" s="71">
        <v>158</v>
      </c>
      <c r="Z205" s="192" t="str">
        <f t="shared" si="8"/>
        <v>S</v>
      </c>
      <c r="AA205" s="66"/>
      <c r="AB205" s="66"/>
      <c r="AC205" s="66"/>
      <c r="AD205" s="172"/>
      <c r="AE205" s="172"/>
      <c r="AF205" s="172"/>
      <c r="AG205" s="172"/>
      <c r="AH205" s="172"/>
      <c r="AI205" s="172"/>
      <c r="AJ205" s="172"/>
      <c r="AK205" s="172"/>
      <c r="AL205" s="172"/>
    </row>
    <row r="206" spans="1:38" s="45" customFormat="1">
      <c r="A206" s="66"/>
      <c r="B206" s="67" t="s">
        <v>968</v>
      </c>
      <c r="C206" s="171">
        <v>1996</v>
      </c>
      <c r="D206" s="66"/>
      <c r="E206" s="73" t="s">
        <v>172</v>
      </c>
      <c r="F206" s="66"/>
      <c r="G206" s="66"/>
      <c r="H206" s="66" t="s">
        <v>302</v>
      </c>
      <c r="I206" s="66" t="s">
        <v>1014</v>
      </c>
      <c r="J206" s="66" t="s">
        <v>1013</v>
      </c>
      <c r="K206" s="54"/>
      <c r="L206" s="54"/>
      <c r="M206" s="66"/>
      <c r="N206" s="66"/>
      <c r="O206" s="67" t="s">
        <v>1009</v>
      </c>
      <c r="P206" s="66"/>
      <c r="Q206" s="66"/>
      <c r="R206" s="66"/>
      <c r="S206" s="66"/>
      <c r="T206" s="66"/>
      <c r="U206" s="66">
        <v>0.81</v>
      </c>
      <c r="V206" s="66"/>
      <c r="W206" s="66">
        <f>168*28/12/2</f>
        <v>196</v>
      </c>
      <c r="X206" s="66">
        <f t="shared" si="10"/>
        <v>0.81</v>
      </c>
      <c r="Y206" s="206">
        <f>168*28/12/2</f>
        <v>196</v>
      </c>
      <c r="Z206" s="192" t="str">
        <f t="shared" si="8"/>
        <v>S</v>
      </c>
      <c r="AA206" s="300"/>
      <c r="AB206" s="198" t="s">
        <v>1206</v>
      </c>
      <c r="AC206" s="198" t="s">
        <v>1207</v>
      </c>
      <c r="AD206" s="198" t="s">
        <v>1208</v>
      </c>
      <c r="AE206" s="198" t="s">
        <v>1209</v>
      </c>
      <c r="AF206" s="198" t="s">
        <v>1210</v>
      </c>
      <c r="AG206" s="198" t="s">
        <v>1211</v>
      </c>
      <c r="AH206" s="172"/>
      <c r="AI206" s="172"/>
      <c r="AJ206" s="172"/>
      <c r="AK206" s="172"/>
      <c r="AL206" s="172"/>
    </row>
    <row r="207" spans="1:38" s="107" customFormat="1">
      <c r="A207" s="97">
        <v>172</v>
      </c>
      <c r="B207" s="98" t="s">
        <v>585</v>
      </c>
      <c r="C207" s="98">
        <v>2010</v>
      </c>
      <c r="D207" s="98" t="s">
        <v>586</v>
      </c>
      <c r="E207" s="99" t="s">
        <v>589</v>
      </c>
      <c r="F207" s="100">
        <v>40234</v>
      </c>
      <c r="G207" s="98" t="s">
        <v>631</v>
      </c>
      <c r="H207" s="98" t="s">
        <v>159</v>
      </c>
      <c r="I207" s="98"/>
      <c r="J207" s="101" t="s">
        <v>1013</v>
      </c>
      <c r="K207" s="98" t="s">
        <v>1068</v>
      </c>
      <c r="L207" s="98" t="s">
        <v>632</v>
      </c>
      <c r="M207" s="102" t="s">
        <v>633</v>
      </c>
      <c r="N207" s="102"/>
      <c r="O207" s="98"/>
      <c r="P207" s="103"/>
      <c r="Q207" s="103"/>
      <c r="R207" s="98"/>
      <c r="S207" s="98"/>
      <c r="T207" s="98"/>
      <c r="U207" s="104">
        <v>0.93400000000000005</v>
      </c>
      <c r="V207" s="128"/>
      <c r="W207" s="128"/>
      <c r="X207" s="101">
        <f t="shared" si="10"/>
        <v>0.93400000000000005</v>
      </c>
      <c r="Y207" s="122">
        <v>80.61</v>
      </c>
      <c r="Z207" s="106" t="str">
        <f t="shared" si="8"/>
        <v>F</v>
      </c>
      <c r="AA207" s="198" t="str">
        <f>+K207</f>
        <v>W conifer - Engelmann spruce branches</v>
      </c>
      <c r="AB207" s="198">
        <f>+$Y$207</f>
        <v>80.61</v>
      </c>
      <c r="AC207" s="198">
        <f>+$Y$207</f>
        <v>80.61</v>
      </c>
      <c r="AD207" s="198"/>
      <c r="AE207" s="198"/>
      <c r="AF207" s="198"/>
      <c r="AG207" s="198">
        <f>COUNT(+$Y$207)</f>
        <v>1</v>
      </c>
      <c r="AH207" s="174"/>
      <c r="AI207" s="174"/>
      <c r="AJ207" s="174"/>
      <c r="AK207" s="174"/>
      <c r="AL207" s="174"/>
    </row>
    <row r="208" spans="1:38" s="45" customFormat="1">
      <c r="A208" s="53">
        <v>4</v>
      </c>
      <c r="B208" s="60" t="s">
        <v>16</v>
      </c>
      <c r="C208" s="60">
        <v>1969</v>
      </c>
      <c r="D208" s="60" t="s">
        <v>17</v>
      </c>
      <c r="E208" s="56" t="s">
        <v>20</v>
      </c>
      <c r="F208" s="54">
        <v>1968</v>
      </c>
      <c r="G208" s="54" t="s">
        <v>21</v>
      </c>
      <c r="H208" s="54" t="s">
        <v>23</v>
      </c>
      <c r="I208" s="54"/>
      <c r="J208" s="54" t="s">
        <v>1013</v>
      </c>
      <c r="K208" s="54" t="s">
        <v>1168</v>
      </c>
      <c r="L208" s="54" t="s">
        <v>24</v>
      </c>
      <c r="M208" s="54"/>
      <c r="N208" s="54"/>
      <c r="O208" s="54" t="s">
        <v>26</v>
      </c>
      <c r="P208" s="54"/>
      <c r="Q208" s="54"/>
      <c r="R208" s="54"/>
      <c r="S208" s="54"/>
      <c r="T208" s="54"/>
      <c r="U208" s="54"/>
      <c r="V208" s="54"/>
      <c r="W208" s="54"/>
      <c r="X208" s="66" t="str">
        <f t="shared" si="10"/>
        <v/>
      </c>
      <c r="Y208" s="71">
        <v>46</v>
      </c>
      <c r="Z208" s="192" t="str">
        <f t="shared" si="8"/>
        <v/>
      </c>
      <c r="AA208" s="198" t="str">
        <f>+K208</f>
        <v>W conifer - Hemlock</v>
      </c>
      <c r="AB208" s="198">
        <f>AVERAGE($Y$208:$Y$209)</f>
        <v>38</v>
      </c>
      <c r="AC208" s="198">
        <f>MEDIAN($Y$208:$Y$209)</f>
        <v>38</v>
      </c>
      <c r="AD208" s="198">
        <f>MAX($Y$208:$Y$209)</f>
        <v>46</v>
      </c>
      <c r="AE208" s="198">
        <f>MIN($Y$208:$Y$209)</f>
        <v>30</v>
      </c>
      <c r="AF208" s="198">
        <f>STDEV($Y$208:$Y$209)</f>
        <v>11.313708498984761</v>
      </c>
      <c r="AG208" s="198">
        <f>COUNT($Y$208:$Y$209)</f>
        <v>2</v>
      </c>
      <c r="AH208" s="172"/>
      <c r="AI208" s="172"/>
      <c r="AJ208" s="172"/>
      <c r="AK208" s="172"/>
      <c r="AL208" s="172"/>
    </row>
    <row r="209" spans="1:38" s="45" customFormat="1">
      <c r="A209" s="53">
        <v>4</v>
      </c>
      <c r="B209" s="60" t="s">
        <v>16</v>
      </c>
      <c r="C209" s="60">
        <v>1969</v>
      </c>
      <c r="D209" s="60" t="s">
        <v>17</v>
      </c>
      <c r="E209" s="56" t="s">
        <v>20</v>
      </c>
      <c r="F209" s="54">
        <v>1968</v>
      </c>
      <c r="G209" s="54" t="s">
        <v>21</v>
      </c>
      <c r="H209" s="54" t="s">
        <v>23</v>
      </c>
      <c r="I209" s="54"/>
      <c r="J209" s="54" t="s">
        <v>1013</v>
      </c>
      <c r="K209" s="54" t="s">
        <v>1168</v>
      </c>
      <c r="L209" s="54" t="s">
        <v>24</v>
      </c>
      <c r="M209" s="54"/>
      <c r="N209" s="54"/>
      <c r="O209" s="54" t="s">
        <v>25</v>
      </c>
      <c r="P209" s="54"/>
      <c r="Q209" s="54"/>
      <c r="R209" s="54"/>
      <c r="S209" s="54"/>
      <c r="T209" s="54"/>
      <c r="U209" s="54"/>
      <c r="V209" s="54"/>
      <c r="W209" s="54"/>
      <c r="X209" s="66" t="str">
        <f t="shared" si="10"/>
        <v/>
      </c>
      <c r="Y209" s="71">
        <v>30</v>
      </c>
      <c r="Z209" s="192" t="str">
        <f t="shared" si="8"/>
        <v/>
      </c>
      <c r="AA209" s="198" t="str">
        <f>+K210</f>
        <v>W conifer - western larch, pine slash</v>
      </c>
      <c r="AB209" s="198">
        <f>AVERAGE($Y$210:$Y$211)</f>
        <v>161</v>
      </c>
      <c r="AC209" s="198">
        <f>MEDIAN($Y$210:$Y$211)</f>
        <v>161</v>
      </c>
      <c r="AD209" s="198">
        <f>MAX($Y$210:$Y$211)</f>
        <v>162</v>
      </c>
      <c r="AE209" s="198">
        <f>MIN($Y$210:$Y$211)</f>
        <v>160</v>
      </c>
      <c r="AF209" s="198">
        <f>STDEV($Y$210:$Y$211)</f>
        <v>1.4142135623730951</v>
      </c>
      <c r="AG209" s="198">
        <f>COUNT($Y$210:$Y$211)</f>
        <v>2</v>
      </c>
      <c r="AH209" s="172"/>
      <c r="AI209" s="172"/>
      <c r="AJ209" s="172"/>
      <c r="AK209" s="172"/>
      <c r="AL209" s="172"/>
    </row>
    <row r="210" spans="1:38" s="107" customFormat="1">
      <c r="A210" s="97">
        <v>121</v>
      </c>
      <c r="B210" s="103" t="s">
        <v>427</v>
      </c>
      <c r="C210" s="103">
        <v>2002</v>
      </c>
      <c r="D210" s="103" t="s">
        <v>428</v>
      </c>
      <c r="E210" s="99" t="s">
        <v>430</v>
      </c>
      <c r="F210" s="98">
        <v>2002</v>
      </c>
      <c r="G210" s="98" t="s">
        <v>461</v>
      </c>
      <c r="H210" s="98" t="s">
        <v>159</v>
      </c>
      <c r="I210" s="98"/>
      <c r="J210" s="98" t="s">
        <v>1013</v>
      </c>
      <c r="K210" s="98" t="s">
        <v>1162</v>
      </c>
      <c r="L210" s="98" t="s">
        <v>462</v>
      </c>
      <c r="M210" s="98" t="s">
        <v>463</v>
      </c>
      <c r="N210" s="98" t="s">
        <v>464</v>
      </c>
      <c r="O210" s="98" t="s">
        <v>465</v>
      </c>
      <c r="P210" s="98"/>
      <c r="Q210" s="98"/>
      <c r="R210" s="98"/>
      <c r="S210" s="98"/>
      <c r="T210" s="98"/>
      <c r="U210" s="98"/>
      <c r="V210" s="98"/>
      <c r="W210" s="98"/>
      <c r="X210" s="101" t="str">
        <f t="shared" si="10"/>
        <v/>
      </c>
      <c r="Y210" s="122">
        <v>162</v>
      </c>
      <c r="Z210" s="106" t="str">
        <f t="shared" si="8"/>
        <v/>
      </c>
      <c r="AA210" s="198" t="str">
        <f>+K212</f>
        <v>W conifer - white pine litter</v>
      </c>
      <c r="AB210" s="198">
        <f>+$Y$213</f>
        <v>157.4</v>
      </c>
      <c r="AC210" s="198">
        <f>+$Y$213</f>
        <v>157.4</v>
      </c>
      <c r="AD210" s="198"/>
      <c r="AE210" s="198"/>
      <c r="AF210" s="198"/>
      <c r="AG210" s="198">
        <f>COUNT(+$Y$213)</f>
        <v>1</v>
      </c>
      <c r="AH210" s="174"/>
      <c r="AI210" s="174"/>
      <c r="AJ210" s="174"/>
      <c r="AK210" s="174"/>
      <c r="AL210" s="174"/>
    </row>
    <row r="211" spans="1:38" s="107" customFormat="1">
      <c r="A211" s="97">
        <v>121</v>
      </c>
      <c r="B211" s="103" t="s">
        <v>427</v>
      </c>
      <c r="C211" s="103">
        <v>2002</v>
      </c>
      <c r="D211" s="103" t="s">
        <v>428</v>
      </c>
      <c r="E211" s="99" t="s">
        <v>430</v>
      </c>
      <c r="F211" s="98">
        <v>2002</v>
      </c>
      <c r="G211" s="98" t="s">
        <v>461</v>
      </c>
      <c r="H211" s="98" t="s">
        <v>159</v>
      </c>
      <c r="I211" s="98"/>
      <c r="J211" s="98" t="s">
        <v>1013</v>
      </c>
      <c r="K211" s="98" t="s">
        <v>1162</v>
      </c>
      <c r="L211" s="98" t="s">
        <v>462</v>
      </c>
      <c r="M211" s="98" t="s">
        <v>463</v>
      </c>
      <c r="N211" s="98" t="s">
        <v>464</v>
      </c>
      <c r="O211" s="98" t="s">
        <v>469</v>
      </c>
      <c r="P211" s="98"/>
      <c r="Q211" s="98"/>
      <c r="R211" s="98"/>
      <c r="S211" s="98"/>
      <c r="T211" s="98"/>
      <c r="U211" s="98"/>
      <c r="V211" s="98"/>
      <c r="W211" s="98"/>
      <c r="X211" s="101" t="str">
        <f t="shared" si="10"/>
        <v/>
      </c>
      <c r="Y211" s="122">
        <v>160</v>
      </c>
      <c r="Z211" s="106" t="str">
        <f t="shared" si="8"/>
        <v/>
      </c>
      <c r="AA211" s="101"/>
      <c r="AB211" s="101"/>
      <c r="AC211" s="101"/>
      <c r="AD211" s="174"/>
      <c r="AE211" s="174"/>
      <c r="AF211" s="174"/>
      <c r="AG211" s="174"/>
      <c r="AH211" s="174"/>
      <c r="AI211" s="174"/>
      <c r="AJ211" s="174"/>
      <c r="AK211" s="174"/>
      <c r="AL211" s="174"/>
    </row>
    <row r="212" spans="1:38" s="45" customFormat="1">
      <c r="A212" s="53">
        <v>197</v>
      </c>
      <c r="B212" s="73" t="s">
        <v>875</v>
      </c>
      <c r="C212" s="54">
        <v>2007</v>
      </c>
      <c r="D212" s="73" t="s">
        <v>928</v>
      </c>
      <c r="E212" s="56" t="s">
        <v>20</v>
      </c>
      <c r="F212" s="54">
        <v>2003</v>
      </c>
      <c r="G212" s="54" t="s">
        <v>326</v>
      </c>
      <c r="H212" s="54" t="s">
        <v>159</v>
      </c>
      <c r="I212" s="54"/>
      <c r="J212" s="66" t="s">
        <v>1013</v>
      </c>
      <c r="K212" s="54" t="s">
        <v>1112</v>
      </c>
      <c r="L212" s="54" t="s">
        <v>924</v>
      </c>
      <c r="M212" s="54"/>
      <c r="N212" s="54"/>
      <c r="O212" s="54" t="s">
        <v>932</v>
      </c>
      <c r="P212" s="54">
        <v>0.98</v>
      </c>
      <c r="Q212" s="66"/>
      <c r="R212" s="66">
        <f>+P212</f>
        <v>0.98</v>
      </c>
      <c r="S212" s="66"/>
      <c r="T212" s="66"/>
      <c r="U212" s="66"/>
      <c r="V212" s="54">
        <v>11.2</v>
      </c>
      <c r="W212" s="66"/>
      <c r="X212" s="66">
        <f t="shared" si="10"/>
        <v>0.98</v>
      </c>
      <c r="Y212" s="206">
        <f>+V212</f>
        <v>11.2</v>
      </c>
      <c r="Z212" s="192" t="str">
        <f t="shared" si="8"/>
        <v>F</v>
      </c>
      <c r="AA212" s="66"/>
      <c r="AB212" s="66"/>
      <c r="AC212" s="66"/>
      <c r="AD212" s="172"/>
      <c r="AE212" s="172"/>
      <c r="AF212" s="172"/>
      <c r="AG212" s="172"/>
      <c r="AH212" s="172"/>
      <c r="AI212" s="172"/>
      <c r="AJ212" s="172"/>
      <c r="AK212" s="172"/>
      <c r="AL212" s="172"/>
    </row>
    <row r="213" spans="1:38" s="45" customFormat="1">
      <c r="A213" s="53">
        <v>197</v>
      </c>
      <c r="B213" s="73" t="s">
        <v>875</v>
      </c>
      <c r="C213" s="54">
        <v>2007</v>
      </c>
      <c r="D213" s="73" t="s">
        <v>928</v>
      </c>
      <c r="E213" s="56" t="s">
        <v>20</v>
      </c>
      <c r="F213" s="54">
        <v>2003</v>
      </c>
      <c r="G213" s="54" t="s">
        <v>326</v>
      </c>
      <c r="H213" s="54" t="s">
        <v>159</v>
      </c>
      <c r="I213" s="54"/>
      <c r="J213" s="66" t="s">
        <v>1013</v>
      </c>
      <c r="K213" s="54" t="s">
        <v>1112</v>
      </c>
      <c r="L213" s="54" t="s">
        <v>924</v>
      </c>
      <c r="M213" s="54"/>
      <c r="N213" s="54"/>
      <c r="O213" s="54" t="s">
        <v>932</v>
      </c>
      <c r="P213" s="66"/>
      <c r="Q213" s="54">
        <v>0.8</v>
      </c>
      <c r="R213" s="66">
        <f>+Q213</f>
        <v>0.8</v>
      </c>
      <c r="S213" s="66"/>
      <c r="T213" s="66"/>
      <c r="U213" s="66"/>
      <c r="V213" s="66"/>
      <c r="W213" s="54">
        <v>157.4</v>
      </c>
      <c r="X213" s="66">
        <f t="shared" si="10"/>
        <v>0.8</v>
      </c>
      <c r="Y213" s="206">
        <f>+W213</f>
        <v>157.4</v>
      </c>
      <c r="Z213" s="192" t="str">
        <f t="shared" si="8"/>
        <v>S</v>
      </c>
      <c r="AA213" s="66"/>
      <c r="AB213" s="66"/>
      <c r="AC213" s="66"/>
      <c r="AD213" s="172"/>
      <c r="AE213" s="172"/>
      <c r="AF213" s="172"/>
      <c r="AG213" s="172"/>
      <c r="AH213" s="172"/>
      <c r="AI213" s="172"/>
      <c r="AJ213" s="172"/>
      <c r="AK213" s="172"/>
      <c r="AL213" s="172"/>
    </row>
  </sheetData>
  <sortState ref="A111:AL148">
    <sortCondition descending="1" ref="X111:X148"/>
    <sortCondition ref="Z111:Z148"/>
  </sortState>
  <dataValidations disablePrompts="1" count="1">
    <dataValidation showInputMessage="1" showErrorMessage="1" sqref="A1"/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5"/>
  <sheetViews>
    <sheetView workbookViewId="0">
      <selection activeCell="AB5" sqref="AB5"/>
    </sheetView>
  </sheetViews>
  <sheetFormatPr baseColWidth="10" defaultRowHeight="15" x14ac:dyDescent="0"/>
  <cols>
    <col min="11" max="11" width="25.1640625" bestFit="1" customWidth="1"/>
    <col min="27" max="27" width="24.1640625" bestFit="1" customWidth="1"/>
  </cols>
  <sheetData>
    <row r="1" spans="1:33">
      <c r="A1" s="1" t="s">
        <v>0</v>
      </c>
      <c r="B1" s="1" t="s">
        <v>1</v>
      </c>
      <c r="C1" s="2" t="s">
        <v>2</v>
      </c>
      <c r="D1" s="2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1156</v>
      </c>
      <c r="W1" s="36" t="s">
        <v>1155</v>
      </c>
      <c r="X1" s="36" t="s">
        <v>1174</v>
      </c>
      <c r="Y1" s="36" t="s">
        <v>1154</v>
      </c>
      <c r="Z1" s="36" t="s">
        <v>1176</v>
      </c>
    </row>
    <row r="2" spans="1:33" s="45" customFormat="1">
      <c r="A2" s="53">
        <v>66</v>
      </c>
      <c r="B2" s="60" t="s">
        <v>45</v>
      </c>
      <c r="C2" s="60">
        <v>1989</v>
      </c>
      <c r="D2" s="60" t="s">
        <v>187</v>
      </c>
      <c r="E2" s="56" t="s">
        <v>49</v>
      </c>
      <c r="F2" s="69">
        <v>31593</v>
      </c>
      <c r="G2" s="54" t="s">
        <v>190</v>
      </c>
      <c r="H2" s="54" t="s">
        <v>146</v>
      </c>
      <c r="I2" s="54"/>
      <c r="J2" s="54" t="s">
        <v>1034</v>
      </c>
      <c r="K2" s="54" t="s">
        <v>166</v>
      </c>
      <c r="L2" s="54" t="s">
        <v>166</v>
      </c>
      <c r="M2" s="54"/>
      <c r="N2" s="54"/>
      <c r="O2" s="54" t="s">
        <v>191</v>
      </c>
      <c r="P2" s="54"/>
      <c r="Q2" s="54"/>
      <c r="R2" s="54"/>
      <c r="S2" s="54"/>
      <c r="T2" s="54"/>
      <c r="U2" s="54"/>
      <c r="V2" s="54"/>
      <c r="W2" s="54"/>
      <c r="X2" s="66" t="str">
        <f t="shared" ref="X2:X33" si="0">IF(R2&lt;&gt;0,IF(R2&gt;1,R2/100,R2),IF(U2&lt;&gt;0,IF(U2&gt;1,U2/100,U2),""))</f>
        <v/>
      </c>
      <c r="Y2" s="71">
        <v>66.2</v>
      </c>
      <c r="Z2" s="192" t="s">
        <v>1192</v>
      </c>
      <c r="AA2" s="196"/>
      <c r="AB2" s="196" t="s">
        <v>1206</v>
      </c>
      <c r="AC2" s="196" t="s">
        <v>1207</v>
      </c>
      <c r="AD2" s="196" t="s">
        <v>1208</v>
      </c>
      <c r="AE2" s="196" t="s">
        <v>1209</v>
      </c>
      <c r="AF2" s="196" t="s">
        <v>1210</v>
      </c>
      <c r="AG2" s="196" t="s">
        <v>1211</v>
      </c>
    </row>
    <row r="3" spans="1:33" s="45" customFormat="1">
      <c r="A3" s="53">
        <v>86</v>
      </c>
      <c r="B3" s="60" t="s">
        <v>223</v>
      </c>
      <c r="C3" s="60">
        <v>1991</v>
      </c>
      <c r="D3" s="60" t="s">
        <v>224</v>
      </c>
      <c r="E3" s="56" t="s">
        <v>20</v>
      </c>
      <c r="F3" s="69">
        <v>32857</v>
      </c>
      <c r="G3" s="54" t="s">
        <v>227</v>
      </c>
      <c r="H3" s="54" t="s">
        <v>146</v>
      </c>
      <c r="I3" s="54"/>
      <c r="J3" s="54" t="s">
        <v>1034</v>
      </c>
      <c r="K3" s="54" t="s">
        <v>1065</v>
      </c>
      <c r="L3" s="54" t="s">
        <v>228</v>
      </c>
      <c r="M3" s="54" t="s">
        <v>229</v>
      </c>
      <c r="N3" s="54"/>
      <c r="O3" s="54">
        <v>6</v>
      </c>
      <c r="P3" s="54"/>
      <c r="Q3" s="54"/>
      <c r="R3" s="54"/>
      <c r="S3" s="54"/>
      <c r="T3" s="54"/>
      <c r="U3" s="54"/>
      <c r="V3" s="54"/>
      <c r="W3" s="54"/>
      <c r="X3" s="66" t="str">
        <f t="shared" si="0"/>
        <v/>
      </c>
      <c r="Y3" s="71">
        <v>76</v>
      </c>
      <c r="Z3" s="192" t="str">
        <f t="shared" ref="Z3:Z15" si="1">IF(X3&lt;&gt;"",IF(X3&lt;0.9,"S","F"),"")</f>
        <v/>
      </c>
      <c r="AA3" s="196" t="str">
        <f>+K3</f>
        <v>Chaparral - ceanothus</v>
      </c>
      <c r="AB3" s="197">
        <f>AVERAGE($Y$3:$Y$17)</f>
        <v>143.32533333333333</v>
      </c>
      <c r="AC3" s="197">
        <f>MEDIAN($Y$3:$Y$17)</f>
        <v>164.4</v>
      </c>
      <c r="AD3" s="197">
        <f>MAX($Y$3:$Y$17)</f>
        <v>257.39999999999998</v>
      </c>
      <c r="AE3" s="197">
        <f>MIN($Y$3:$Y$17)</f>
        <v>34.4</v>
      </c>
      <c r="AF3" s="197">
        <f>STDEV($Y$3:$Y$17)</f>
        <v>62.031677836715758</v>
      </c>
      <c r="AG3" s="198">
        <f>COUNT($Y$3:$Y$17)</f>
        <v>15</v>
      </c>
    </row>
    <row r="4" spans="1:33" s="45" customFormat="1">
      <c r="A4" s="53">
        <v>86</v>
      </c>
      <c r="B4" s="60" t="s">
        <v>223</v>
      </c>
      <c r="C4" s="60">
        <v>1991</v>
      </c>
      <c r="D4" s="60" t="s">
        <v>224</v>
      </c>
      <c r="E4" s="56" t="s">
        <v>20</v>
      </c>
      <c r="F4" s="69">
        <v>32857</v>
      </c>
      <c r="G4" s="54" t="s">
        <v>227</v>
      </c>
      <c r="H4" s="54" t="s">
        <v>146</v>
      </c>
      <c r="I4" s="54"/>
      <c r="J4" s="54" t="s">
        <v>1034</v>
      </c>
      <c r="K4" s="54" t="s">
        <v>1065</v>
      </c>
      <c r="L4" s="54" t="s">
        <v>228</v>
      </c>
      <c r="M4" s="54" t="s">
        <v>229</v>
      </c>
      <c r="N4" s="54"/>
      <c r="O4" s="54">
        <v>1</v>
      </c>
      <c r="P4" s="54"/>
      <c r="Q4" s="54"/>
      <c r="R4" s="54"/>
      <c r="S4" s="54"/>
      <c r="T4" s="54"/>
      <c r="U4" s="54"/>
      <c r="V4" s="54"/>
      <c r="W4" s="54"/>
      <c r="X4" s="66" t="str">
        <f t="shared" si="0"/>
        <v/>
      </c>
      <c r="Y4" s="71">
        <v>95</v>
      </c>
      <c r="Z4" s="192" t="str">
        <f t="shared" si="1"/>
        <v/>
      </c>
      <c r="AA4" s="196" t="str">
        <f>+K18</f>
        <v>Chaparral - chamise</v>
      </c>
      <c r="AB4" s="197">
        <f>AVERAGE($Y$19:$Y$38)</f>
        <v>89.354500000000002</v>
      </c>
      <c r="AC4" s="197">
        <f>MEDIAN($Y$19:$Y$38)</f>
        <v>86.55</v>
      </c>
      <c r="AD4" s="197">
        <f>MAX($Y$19:$Y$38)</f>
        <v>181.1</v>
      </c>
      <c r="AE4" s="197">
        <f>MIN($Y$19:$Y$38)</f>
        <v>48</v>
      </c>
      <c r="AF4" s="197">
        <f>STDEV($Y$19:$Y$38)</f>
        <v>35.398084021150368</v>
      </c>
      <c r="AG4" s="198">
        <f>COUNT($Y$19:$Y$38)</f>
        <v>20</v>
      </c>
    </row>
    <row r="5" spans="1:33" s="45" customFormat="1">
      <c r="A5" s="53">
        <v>86</v>
      </c>
      <c r="B5" s="60" t="s">
        <v>223</v>
      </c>
      <c r="C5" s="60">
        <v>1991</v>
      </c>
      <c r="D5" s="60" t="s">
        <v>224</v>
      </c>
      <c r="E5" s="56" t="s">
        <v>20</v>
      </c>
      <c r="F5" s="69">
        <v>33093</v>
      </c>
      <c r="G5" s="54" t="s">
        <v>227</v>
      </c>
      <c r="H5" s="54" t="s">
        <v>146</v>
      </c>
      <c r="I5" s="54"/>
      <c r="J5" s="54" t="s">
        <v>1034</v>
      </c>
      <c r="K5" s="54" t="s">
        <v>1065</v>
      </c>
      <c r="L5" s="54" t="s">
        <v>228</v>
      </c>
      <c r="M5" s="54" t="s">
        <v>229</v>
      </c>
      <c r="N5" s="54"/>
      <c r="O5" s="54">
        <v>42</v>
      </c>
      <c r="P5" s="54"/>
      <c r="Q5" s="54"/>
      <c r="R5" s="54"/>
      <c r="S5" s="54"/>
      <c r="T5" s="54"/>
      <c r="U5" s="54"/>
      <c r="V5" s="54"/>
      <c r="W5" s="54"/>
      <c r="X5" s="66" t="str">
        <f t="shared" si="0"/>
        <v/>
      </c>
      <c r="Y5" s="71">
        <v>152.80000000000001</v>
      </c>
      <c r="Z5" s="192" t="str">
        <f t="shared" si="1"/>
        <v/>
      </c>
      <c r="AA5" s="196" t="str">
        <f>+K41</f>
        <v>Chaparral - coastal sage scrub</v>
      </c>
      <c r="AB5" s="197">
        <f>AVERAGE($Y$41:$Y$53)</f>
        <v>143.91538461538465</v>
      </c>
      <c r="AC5" s="197">
        <f>MEDIAN($Y$41:$Y$53)</f>
        <v>113.1</v>
      </c>
      <c r="AD5" s="197">
        <f>MAX($Y$41:$Y$53)</f>
        <v>278.7</v>
      </c>
      <c r="AE5" s="197">
        <f>MIN($Y$41:$Y$53)</f>
        <v>61.9</v>
      </c>
      <c r="AF5" s="197">
        <f>STDEV($Y$41:$Y$53)</f>
        <v>71.57803254902818</v>
      </c>
      <c r="AG5" s="198">
        <f>COUNT($Y$41:$Y$53)</f>
        <v>13</v>
      </c>
    </row>
    <row r="6" spans="1:33" s="45" customFormat="1">
      <c r="A6" s="53">
        <v>86</v>
      </c>
      <c r="B6" s="60" t="s">
        <v>223</v>
      </c>
      <c r="C6" s="60">
        <v>1991</v>
      </c>
      <c r="D6" s="60" t="s">
        <v>224</v>
      </c>
      <c r="E6" s="56" t="s">
        <v>20</v>
      </c>
      <c r="F6" s="69">
        <v>33008</v>
      </c>
      <c r="G6" s="54" t="s">
        <v>227</v>
      </c>
      <c r="H6" s="54" t="s">
        <v>146</v>
      </c>
      <c r="I6" s="54"/>
      <c r="J6" s="54" t="s">
        <v>1034</v>
      </c>
      <c r="K6" s="54" t="s">
        <v>1065</v>
      </c>
      <c r="L6" s="54" t="s">
        <v>228</v>
      </c>
      <c r="M6" s="54" t="s">
        <v>229</v>
      </c>
      <c r="N6" s="54"/>
      <c r="O6" s="54">
        <v>28</v>
      </c>
      <c r="P6" s="54"/>
      <c r="Q6" s="54"/>
      <c r="R6" s="54"/>
      <c r="S6" s="54"/>
      <c r="T6" s="54"/>
      <c r="U6" s="54"/>
      <c r="V6" s="54"/>
      <c r="W6" s="54"/>
      <c r="X6" s="66" t="str">
        <f t="shared" si="0"/>
        <v/>
      </c>
      <c r="Y6" s="71">
        <v>164.4</v>
      </c>
      <c r="Z6" s="192" t="str">
        <f t="shared" si="1"/>
        <v/>
      </c>
      <c r="AA6" s="196" t="str">
        <f>+K54</f>
        <v>Chaparral - manzanita</v>
      </c>
      <c r="AB6" s="197">
        <f>AVERAGE($Y$54:$Y$66)</f>
        <v>145.60076923076923</v>
      </c>
      <c r="AC6" s="197">
        <f>MEDIAN($Y$54:$Y$66)</f>
        <v>142</v>
      </c>
      <c r="AD6" s="197">
        <f>MAX($Y$54:$Y$66)</f>
        <v>211.9</v>
      </c>
      <c r="AE6" s="197">
        <f>MIN($Y$54:$Y$66)</f>
        <v>64.31</v>
      </c>
      <c r="AF6" s="197">
        <f>STDEV($Y$54:$Y$66)</f>
        <v>41.265960641820733</v>
      </c>
      <c r="AG6" s="198">
        <f>COUNT($Y$54:$Y$66)</f>
        <v>13</v>
      </c>
    </row>
    <row r="7" spans="1:33" s="45" customFormat="1">
      <c r="A7" s="53">
        <v>86</v>
      </c>
      <c r="B7" s="60" t="s">
        <v>223</v>
      </c>
      <c r="C7" s="60">
        <v>1991</v>
      </c>
      <c r="D7" s="60" t="s">
        <v>224</v>
      </c>
      <c r="E7" s="56" t="s">
        <v>20</v>
      </c>
      <c r="F7" s="69">
        <v>32961</v>
      </c>
      <c r="G7" s="54" t="s">
        <v>227</v>
      </c>
      <c r="H7" s="54" t="s">
        <v>146</v>
      </c>
      <c r="I7" s="54"/>
      <c r="J7" s="54" t="s">
        <v>1034</v>
      </c>
      <c r="K7" s="54" t="s">
        <v>1065</v>
      </c>
      <c r="L7" s="54" t="s">
        <v>228</v>
      </c>
      <c r="M7" s="54" t="s">
        <v>229</v>
      </c>
      <c r="N7" s="54"/>
      <c r="O7" s="54">
        <v>12</v>
      </c>
      <c r="P7" s="54"/>
      <c r="Q7" s="54"/>
      <c r="R7" s="54"/>
      <c r="S7" s="54"/>
      <c r="T7" s="54"/>
      <c r="U7" s="54"/>
      <c r="V7" s="54"/>
      <c r="W7" s="54"/>
      <c r="X7" s="66" t="str">
        <f t="shared" si="0"/>
        <v/>
      </c>
      <c r="Y7" s="71">
        <v>164.5</v>
      </c>
      <c r="Z7" s="192" t="str">
        <f t="shared" si="1"/>
        <v/>
      </c>
      <c r="AA7" s="172" t="s">
        <v>1216</v>
      </c>
      <c r="AB7" s="172"/>
      <c r="AC7" s="172"/>
      <c r="AD7" s="172"/>
    </row>
    <row r="8" spans="1:33" s="45" customFormat="1">
      <c r="A8" s="53">
        <v>86</v>
      </c>
      <c r="B8" s="60" t="s">
        <v>223</v>
      </c>
      <c r="C8" s="60">
        <v>1991</v>
      </c>
      <c r="D8" s="60" t="s">
        <v>224</v>
      </c>
      <c r="E8" s="56" t="s">
        <v>20</v>
      </c>
      <c r="F8" s="69">
        <v>33008</v>
      </c>
      <c r="G8" s="54" t="s">
        <v>227</v>
      </c>
      <c r="H8" s="54" t="s">
        <v>146</v>
      </c>
      <c r="I8" s="54"/>
      <c r="J8" s="54" t="s">
        <v>1034</v>
      </c>
      <c r="K8" s="54" t="s">
        <v>1065</v>
      </c>
      <c r="L8" s="54" t="s">
        <v>228</v>
      </c>
      <c r="M8" s="54" t="s">
        <v>229</v>
      </c>
      <c r="N8" s="54"/>
      <c r="O8" s="54">
        <v>25</v>
      </c>
      <c r="P8" s="54"/>
      <c r="Q8" s="54"/>
      <c r="R8" s="54"/>
      <c r="S8" s="54"/>
      <c r="T8" s="54"/>
      <c r="U8" s="54"/>
      <c r="V8" s="54"/>
      <c r="W8" s="54"/>
      <c r="X8" s="66" t="str">
        <f t="shared" si="0"/>
        <v/>
      </c>
      <c r="Y8" s="71">
        <v>169.3</v>
      </c>
      <c r="Z8" s="192" t="str">
        <f t="shared" si="1"/>
        <v/>
      </c>
      <c r="AA8" s="172"/>
      <c r="AB8" s="172"/>
      <c r="AC8" s="172"/>
      <c r="AD8" s="172"/>
    </row>
    <row r="9" spans="1:33" s="45" customFormat="1">
      <c r="A9" s="53">
        <v>86</v>
      </c>
      <c r="B9" s="60" t="s">
        <v>223</v>
      </c>
      <c r="C9" s="60">
        <v>1991</v>
      </c>
      <c r="D9" s="60" t="s">
        <v>224</v>
      </c>
      <c r="E9" s="56" t="s">
        <v>20</v>
      </c>
      <c r="F9" s="69">
        <v>33009</v>
      </c>
      <c r="G9" s="54" t="s">
        <v>227</v>
      </c>
      <c r="H9" s="54" t="s">
        <v>146</v>
      </c>
      <c r="I9" s="54"/>
      <c r="J9" s="54" t="s">
        <v>1034</v>
      </c>
      <c r="K9" s="54" t="s">
        <v>1065</v>
      </c>
      <c r="L9" s="54" t="s">
        <v>228</v>
      </c>
      <c r="M9" s="54" t="s">
        <v>229</v>
      </c>
      <c r="N9" s="54"/>
      <c r="O9" s="54">
        <v>31</v>
      </c>
      <c r="P9" s="54"/>
      <c r="Q9" s="54"/>
      <c r="R9" s="54"/>
      <c r="S9" s="54"/>
      <c r="T9" s="54"/>
      <c r="U9" s="54"/>
      <c r="V9" s="54"/>
      <c r="W9" s="54"/>
      <c r="X9" s="66" t="str">
        <f t="shared" si="0"/>
        <v/>
      </c>
      <c r="Y9" s="71">
        <v>176.3</v>
      </c>
      <c r="Z9" s="192" t="str">
        <f t="shared" si="1"/>
        <v/>
      </c>
      <c r="AA9" s="172"/>
      <c r="AB9" s="172"/>
      <c r="AC9" s="172"/>
      <c r="AD9" s="172"/>
    </row>
    <row r="10" spans="1:33" s="45" customFormat="1">
      <c r="A10" s="53">
        <v>86</v>
      </c>
      <c r="B10" s="60" t="s">
        <v>223</v>
      </c>
      <c r="C10" s="60">
        <v>1991</v>
      </c>
      <c r="D10" s="60" t="s">
        <v>224</v>
      </c>
      <c r="E10" s="56" t="s">
        <v>20</v>
      </c>
      <c r="F10" s="69">
        <v>33093</v>
      </c>
      <c r="G10" s="54" t="s">
        <v>227</v>
      </c>
      <c r="H10" s="54" t="s">
        <v>146</v>
      </c>
      <c r="I10" s="54"/>
      <c r="J10" s="54" t="s">
        <v>1034</v>
      </c>
      <c r="K10" s="54" t="s">
        <v>1065</v>
      </c>
      <c r="L10" s="54" t="s">
        <v>228</v>
      </c>
      <c r="M10" s="54" t="s">
        <v>229</v>
      </c>
      <c r="N10" s="54"/>
      <c r="O10" s="54">
        <v>40</v>
      </c>
      <c r="P10" s="54"/>
      <c r="Q10" s="54"/>
      <c r="R10" s="54"/>
      <c r="S10" s="54"/>
      <c r="T10" s="54"/>
      <c r="U10" s="54"/>
      <c r="V10" s="54"/>
      <c r="W10" s="54"/>
      <c r="X10" s="66" t="str">
        <f t="shared" si="0"/>
        <v/>
      </c>
      <c r="Y10" s="71">
        <v>190.8</v>
      </c>
      <c r="Z10" s="192" t="str">
        <f t="shared" si="1"/>
        <v/>
      </c>
      <c r="AA10" s="172"/>
      <c r="AB10" s="172"/>
      <c r="AC10" s="172"/>
      <c r="AD10" s="172"/>
    </row>
    <row r="11" spans="1:33" s="45" customFormat="1">
      <c r="A11" s="53">
        <v>86</v>
      </c>
      <c r="B11" s="60" t="s">
        <v>223</v>
      </c>
      <c r="C11" s="60">
        <v>1991</v>
      </c>
      <c r="D11" s="60" t="s">
        <v>224</v>
      </c>
      <c r="E11" s="56" t="s">
        <v>20</v>
      </c>
      <c r="F11" s="69">
        <v>32961</v>
      </c>
      <c r="G11" s="54" t="s">
        <v>227</v>
      </c>
      <c r="H11" s="54" t="s">
        <v>146</v>
      </c>
      <c r="I11" s="54"/>
      <c r="J11" s="54" t="s">
        <v>1034</v>
      </c>
      <c r="K11" s="54" t="s">
        <v>1065</v>
      </c>
      <c r="L11" s="54" t="s">
        <v>228</v>
      </c>
      <c r="M11" s="54" t="s">
        <v>229</v>
      </c>
      <c r="N11" s="54"/>
      <c r="O11" s="54">
        <v>14</v>
      </c>
      <c r="P11" s="54"/>
      <c r="Q11" s="54"/>
      <c r="R11" s="54"/>
      <c r="S11" s="54"/>
      <c r="T11" s="54"/>
      <c r="U11" s="54"/>
      <c r="V11" s="54"/>
      <c r="W11" s="54"/>
      <c r="X11" s="66" t="str">
        <f t="shared" si="0"/>
        <v/>
      </c>
      <c r="Y11" s="71">
        <v>195.3</v>
      </c>
      <c r="Z11" s="192" t="str">
        <f t="shared" si="1"/>
        <v/>
      </c>
      <c r="AA11" s="172"/>
      <c r="AB11" s="172"/>
      <c r="AC11" s="172"/>
      <c r="AD11" s="172"/>
    </row>
    <row r="12" spans="1:33" s="45" customFormat="1">
      <c r="A12" s="53">
        <v>86</v>
      </c>
      <c r="B12" s="60" t="s">
        <v>223</v>
      </c>
      <c r="C12" s="60">
        <v>1991</v>
      </c>
      <c r="D12" s="60" t="s">
        <v>224</v>
      </c>
      <c r="E12" s="56" t="s">
        <v>20</v>
      </c>
      <c r="F12" s="69">
        <v>32961</v>
      </c>
      <c r="G12" s="54" t="s">
        <v>227</v>
      </c>
      <c r="H12" s="54" t="s">
        <v>146</v>
      </c>
      <c r="I12" s="54"/>
      <c r="J12" s="54" t="s">
        <v>1034</v>
      </c>
      <c r="K12" s="54" t="s">
        <v>1065</v>
      </c>
      <c r="L12" s="54" t="s">
        <v>228</v>
      </c>
      <c r="M12" s="54" t="s">
        <v>229</v>
      </c>
      <c r="N12" s="54"/>
      <c r="O12" s="54">
        <v>18</v>
      </c>
      <c r="P12" s="54"/>
      <c r="Q12" s="54"/>
      <c r="R12" s="54"/>
      <c r="S12" s="54"/>
      <c r="T12" s="54"/>
      <c r="U12" s="54"/>
      <c r="V12" s="54"/>
      <c r="W12" s="54"/>
      <c r="X12" s="66" t="str">
        <f t="shared" si="0"/>
        <v/>
      </c>
      <c r="Y12" s="71">
        <v>209.5</v>
      </c>
      <c r="Z12" s="192" t="str">
        <f t="shared" si="1"/>
        <v/>
      </c>
      <c r="AA12" s="172"/>
      <c r="AB12" s="172"/>
      <c r="AC12" s="172"/>
      <c r="AD12" s="172"/>
    </row>
    <row r="13" spans="1:33" s="45" customFormat="1">
      <c r="A13" s="53">
        <v>86</v>
      </c>
      <c r="B13" s="60" t="s">
        <v>223</v>
      </c>
      <c r="C13" s="60">
        <v>1991</v>
      </c>
      <c r="D13" s="60" t="s">
        <v>224</v>
      </c>
      <c r="E13" s="56" t="s">
        <v>20</v>
      </c>
      <c r="F13" s="69">
        <v>33093</v>
      </c>
      <c r="G13" s="54" t="s">
        <v>227</v>
      </c>
      <c r="H13" s="54" t="s">
        <v>146</v>
      </c>
      <c r="I13" s="54"/>
      <c r="J13" s="54" t="s">
        <v>1034</v>
      </c>
      <c r="K13" s="54" t="s">
        <v>1065</v>
      </c>
      <c r="L13" s="54" t="s">
        <v>228</v>
      </c>
      <c r="M13" s="54" t="s">
        <v>229</v>
      </c>
      <c r="N13" s="54"/>
      <c r="O13" s="54">
        <v>37</v>
      </c>
      <c r="P13" s="54"/>
      <c r="Q13" s="54"/>
      <c r="R13" s="54"/>
      <c r="S13" s="54"/>
      <c r="T13" s="54"/>
      <c r="U13" s="54"/>
      <c r="V13" s="54"/>
      <c r="W13" s="54"/>
      <c r="X13" s="66" t="str">
        <f t="shared" si="0"/>
        <v/>
      </c>
      <c r="Y13" s="71">
        <v>257.39999999999998</v>
      </c>
      <c r="Z13" s="192" t="str">
        <f t="shared" si="1"/>
        <v/>
      </c>
      <c r="AA13" s="172"/>
      <c r="AB13" s="172"/>
      <c r="AC13" s="172"/>
      <c r="AD13" s="172"/>
    </row>
    <row r="14" spans="1:33" s="45" customFormat="1">
      <c r="A14" s="53">
        <v>174</v>
      </c>
      <c r="B14" s="54" t="s">
        <v>697</v>
      </c>
      <c r="C14" s="54">
        <v>2009</v>
      </c>
      <c r="D14" s="78" t="s">
        <v>698</v>
      </c>
      <c r="E14" s="56" t="s">
        <v>20</v>
      </c>
      <c r="F14" s="57" t="s">
        <v>701</v>
      </c>
      <c r="G14" s="54" t="s">
        <v>718</v>
      </c>
      <c r="H14" s="54" t="s">
        <v>146</v>
      </c>
      <c r="I14" s="54"/>
      <c r="J14" s="66" t="s">
        <v>1034</v>
      </c>
      <c r="K14" s="54" t="s">
        <v>1065</v>
      </c>
      <c r="L14" s="54" t="s">
        <v>740</v>
      </c>
      <c r="M14" s="59"/>
      <c r="N14" s="59"/>
      <c r="O14" s="54" t="s">
        <v>228</v>
      </c>
      <c r="P14" s="60"/>
      <c r="Q14" s="60"/>
      <c r="R14" s="54"/>
      <c r="S14" s="54"/>
      <c r="T14" s="54"/>
      <c r="U14" s="61">
        <v>0.91300000000000003</v>
      </c>
      <c r="V14" s="61"/>
      <c r="W14" s="61"/>
      <c r="X14" s="66">
        <f t="shared" si="0"/>
        <v>0.91300000000000003</v>
      </c>
      <c r="Y14" s="71">
        <v>98.3</v>
      </c>
      <c r="Z14" s="192" t="str">
        <f t="shared" si="1"/>
        <v>F</v>
      </c>
      <c r="AA14" s="172"/>
      <c r="AB14" s="172"/>
      <c r="AC14" s="172"/>
      <c r="AD14" s="172"/>
    </row>
    <row r="15" spans="1:33" s="45" customFormat="1">
      <c r="A15" s="53">
        <v>172</v>
      </c>
      <c r="B15" s="54" t="s">
        <v>585</v>
      </c>
      <c r="C15" s="54">
        <v>2010</v>
      </c>
      <c r="D15" s="54" t="s">
        <v>586</v>
      </c>
      <c r="E15" s="56" t="s">
        <v>589</v>
      </c>
      <c r="F15" s="57">
        <v>40218</v>
      </c>
      <c r="G15" s="54" t="s">
        <v>590</v>
      </c>
      <c r="H15" s="54" t="s">
        <v>146</v>
      </c>
      <c r="I15" s="54"/>
      <c r="J15" s="66" t="s">
        <v>1034</v>
      </c>
      <c r="K15" s="54" t="s">
        <v>1065</v>
      </c>
      <c r="L15" s="54" t="s">
        <v>591</v>
      </c>
      <c r="M15" s="59" t="s">
        <v>592</v>
      </c>
      <c r="N15" s="59"/>
      <c r="O15" s="54"/>
      <c r="P15" s="54"/>
      <c r="Q15" s="54"/>
      <c r="R15" s="54"/>
      <c r="S15" s="54"/>
      <c r="T15" s="54"/>
      <c r="U15" s="60">
        <v>0.94599999999999995</v>
      </c>
      <c r="V15" s="167"/>
      <c r="W15" s="167"/>
      <c r="X15" s="66">
        <f t="shared" si="0"/>
        <v>0.94599999999999995</v>
      </c>
      <c r="Y15" s="71">
        <v>63.88</v>
      </c>
      <c r="Z15" s="192" t="str">
        <f t="shared" si="1"/>
        <v>F</v>
      </c>
      <c r="AA15" s="172"/>
      <c r="AB15" s="172"/>
      <c r="AC15" s="172"/>
      <c r="AD15" s="172"/>
    </row>
    <row r="16" spans="1:33" s="45" customFormat="1">
      <c r="A16" s="53">
        <v>66</v>
      </c>
      <c r="B16" s="60" t="s">
        <v>45</v>
      </c>
      <c r="C16" s="60">
        <v>1989</v>
      </c>
      <c r="D16" s="60" t="s">
        <v>187</v>
      </c>
      <c r="E16" s="56" t="s">
        <v>49</v>
      </c>
      <c r="F16" s="54" t="s">
        <v>195</v>
      </c>
      <c r="G16" s="54" t="s">
        <v>190</v>
      </c>
      <c r="H16" s="54" t="s">
        <v>146</v>
      </c>
      <c r="I16" s="54"/>
      <c r="J16" s="54" t="s">
        <v>1034</v>
      </c>
      <c r="K16" s="54" t="s">
        <v>1065</v>
      </c>
      <c r="L16" s="54" t="s">
        <v>196</v>
      </c>
      <c r="M16" s="54"/>
      <c r="N16" s="54"/>
      <c r="O16" s="54" t="s">
        <v>198</v>
      </c>
      <c r="P16" s="54"/>
      <c r="Q16" s="54"/>
      <c r="R16" s="54"/>
      <c r="S16" s="54"/>
      <c r="T16" s="54"/>
      <c r="U16" s="54"/>
      <c r="V16" s="54"/>
      <c r="W16" s="54"/>
      <c r="X16" s="66" t="str">
        <f t="shared" si="0"/>
        <v/>
      </c>
      <c r="Y16" s="71">
        <v>34.4</v>
      </c>
      <c r="Z16" s="192" t="s">
        <v>1192</v>
      </c>
      <c r="AA16" s="172"/>
      <c r="AB16" s="172"/>
      <c r="AC16" s="172"/>
      <c r="AD16" s="172"/>
    </row>
    <row r="17" spans="1:30" s="45" customFormat="1">
      <c r="A17" s="53">
        <v>66</v>
      </c>
      <c r="B17" s="60" t="s">
        <v>45</v>
      </c>
      <c r="C17" s="60">
        <v>1989</v>
      </c>
      <c r="D17" s="60" t="s">
        <v>187</v>
      </c>
      <c r="E17" s="56" t="s">
        <v>49</v>
      </c>
      <c r="F17" s="54" t="s">
        <v>195</v>
      </c>
      <c r="G17" s="54" t="s">
        <v>190</v>
      </c>
      <c r="H17" s="54" t="s">
        <v>146</v>
      </c>
      <c r="I17" s="54"/>
      <c r="J17" s="54" t="s">
        <v>1034</v>
      </c>
      <c r="K17" s="54" t="s">
        <v>1065</v>
      </c>
      <c r="L17" s="54" t="s">
        <v>196</v>
      </c>
      <c r="M17" s="54"/>
      <c r="N17" s="54"/>
      <c r="O17" s="54" t="s">
        <v>197</v>
      </c>
      <c r="P17" s="54"/>
      <c r="Q17" s="54"/>
      <c r="R17" s="54"/>
      <c r="S17" s="54"/>
      <c r="T17" s="54"/>
      <c r="U17" s="54"/>
      <c r="V17" s="54"/>
      <c r="W17" s="54"/>
      <c r="X17" s="66" t="str">
        <f t="shared" si="0"/>
        <v/>
      </c>
      <c r="Y17" s="71">
        <v>102</v>
      </c>
      <c r="Z17" s="192" t="s">
        <v>1193</v>
      </c>
      <c r="AA17" s="172"/>
      <c r="AB17" s="172"/>
      <c r="AC17" s="172"/>
      <c r="AD17" s="172"/>
    </row>
    <row r="18" spans="1:30" s="45" customFormat="1">
      <c r="A18" s="53">
        <v>63</v>
      </c>
      <c r="B18" s="60" t="s">
        <v>168</v>
      </c>
      <c r="C18" s="60">
        <v>1989</v>
      </c>
      <c r="D18" s="60" t="s">
        <v>169</v>
      </c>
      <c r="E18" s="56" t="s">
        <v>172</v>
      </c>
      <c r="F18" s="69">
        <v>31950</v>
      </c>
      <c r="G18" s="54" t="s">
        <v>173</v>
      </c>
      <c r="H18" s="54" t="s">
        <v>146</v>
      </c>
      <c r="I18" s="66"/>
      <c r="J18" s="66" t="s">
        <v>1034</v>
      </c>
      <c r="K18" s="54" t="s">
        <v>1035</v>
      </c>
      <c r="L18" s="54" t="s">
        <v>174</v>
      </c>
      <c r="M18" s="54"/>
      <c r="N18" s="54"/>
      <c r="O18" s="54" t="s">
        <v>150</v>
      </c>
      <c r="P18" s="54"/>
      <c r="Q18" s="54"/>
      <c r="R18" s="54"/>
      <c r="S18" s="54"/>
      <c r="T18" s="54"/>
      <c r="U18" s="54"/>
      <c r="V18" s="54"/>
      <c r="W18" s="54"/>
      <c r="X18" s="66" t="str">
        <f t="shared" si="0"/>
        <v/>
      </c>
      <c r="Y18" s="71">
        <v>75</v>
      </c>
      <c r="Z18" s="192" t="str">
        <f t="shared" ref="Z18:Z34" si="2">IF(X18&lt;&gt;"",IF(X18&lt;0.9,"S","F"),"")</f>
        <v/>
      </c>
      <c r="AA18" s="172"/>
      <c r="AB18" s="172"/>
      <c r="AC18" s="172"/>
      <c r="AD18" s="172"/>
    </row>
    <row r="19" spans="1:30" s="45" customFormat="1">
      <c r="A19" s="53">
        <v>86</v>
      </c>
      <c r="B19" s="60" t="s">
        <v>223</v>
      </c>
      <c r="C19" s="60">
        <v>1991</v>
      </c>
      <c r="D19" s="60" t="s">
        <v>224</v>
      </c>
      <c r="E19" s="56" t="s">
        <v>20</v>
      </c>
      <c r="F19" s="69">
        <v>32857</v>
      </c>
      <c r="G19" s="54" t="s">
        <v>227</v>
      </c>
      <c r="H19" s="54" t="s">
        <v>146</v>
      </c>
      <c r="I19" s="54"/>
      <c r="J19" s="54" t="s">
        <v>1034</v>
      </c>
      <c r="K19" s="54" t="s">
        <v>1035</v>
      </c>
      <c r="L19" s="54" t="s">
        <v>232</v>
      </c>
      <c r="M19" s="54" t="s">
        <v>233</v>
      </c>
      <c r="N19" s="54"/>
      <c r="O19" s="54">
        <v>5</v>
      </c>
      <c r="P19" s="54"/>
      <c r="Q19" s="54"/>
      <c r="R19" s="54"/>
      <c r="S19" s="54"/>
      <c r="T19" s="54"/>
      <c r="U19" s="54"/>
      <c r="V19" s="54"/>
      <c r="W19" s="54"/>
      <c r="X19" s="66" t="str">
        <f t="shared" si="0"/>
        <v/>
      </c>
      <c r="Y19" s="71">
        <v>61</v>
      </c>
      <c r="Z19" s="192" t="str">
        <f t="shared" si="2"/>
        <v/>
      </c>
      <c r="AA19" s="172"/>
      <c r="AB19" s="172"/>
      <c r="AC19" s="172"/>
      <c r="AD19" s="172"/>
    </row>
    <row r="20" spans="1:30" s="45" customFormat="1">
      <c r="A20" s="53">
        <v>86</v>
      </c>
      <c r="B20" s="60" t="s">
        <v>223</v>
      </c>
      <c r="C20" s="60">
        <v>1991</v>
      </c>
      <c r="D20" s="60" t="s">
        <v>224</v>
      </c>
      <c r="E20" s="56" t="s">
        <v>20</v>
      </c>
      <c r="F20" s="69">
        <v>32857</v>
      </c>
      <c r="G20" s="54" t="s">
        <v>227</v>
      </c>
      <c r="H20" s="54" t="s">
        <v>146</v>
      </c>
      <c r="I20" s="54"/>
      <c r="J20" s="54" t="s">
        <v>1034</v>
      </c>
      <c r="K20" s="54" t="s">
        <v>1035</v>
      </c>
      <c r="L20" s="54" t="s">
        <v>232</v>
      </c>
      <c r="M20" s="54" t="s">
        <v>233</v>
      </c>
      <c r="N20" s="54"/>
      <c r="O20" s="54">
        <v>9</v>
      </c>
      <c r="P20" s="54"/>
      <c r="Q20" s="54"/>
      <c r="R20" s="54"/>
      <c r="S20" s="54"/>
      <c r="T20" s="54"/>
      <c r="U20" s="54"/>
      <c r="V20" s="54"/>
      <c r="W20" s="54"/>
      <c r="X20" s="66" t="str">
        <f t="shared" si="0"/>
        <v/>
      </c>
      <c r="Y20" s="71">
        <v>67</v>
      </c>
      <c r="Z20" s="192" t="str">
        <f t="shared" si="2"/>
        <v/>
      </c>
      <c r="AA20" s="172"/>
      <c r="AB20" s="172"/>
      <c r="AC20" s="172"/>
      <c r="AD20" s="172"/>
    </row>
    <row r="21" spans="1:30" s="45" customFormat="1">
      <c r="A21" s="53">
        <v>86</v>
      </c>
      <c r="B21" s="60" t="s">
        <v>223</v>
      </c>
      <c r="C21" s="60">
        <v>1991</v>
      </c>
      <c r="D21" s="60" t="s">
        <v>224</v>
      </c>
      <c r="E21" s="56" t="s">
        <v>20</v>
      </c>
      <c r="F21" s="69">
        <v>32857</v>
      </c>
      <c r="G21" s="54" t="s">
        <v>227</v>
      </c>
      <c r="H21" s="54" t="s">
        <v>146</v>
      </c>
      <c r="I21" s="54"/>
      <c r="J21" s="54" t="s">
        <v>1034</v>
      </c>
      <c r="K21" s="54" t="s">
        <v>1035</v>
      </c>
      <c r="L21" s="54" t="s">
        <v>232</v>
      </c>
      <c r="M21" s="54" t="s">
        <v>233</v>
      </c>
      <c r="N21" s="54"/>
      <c r="O21" s="54">
        <v>3</v>
      </c>
      <c r="P21" s="54"/>
      <c r="Q21" s="54"/>
      <c r="R21" s="54"/>
      <c r="S21" s="54"/>
      <c r="T21" s="54"/>
      <c r="U21" s="54"/>
      <c r="V21" s="54"/>
      <c r="W21" s="54"/>
      <c r="X21" s="66" t="str">
        <f t="shared" si="0"/>
        <v/>
      </c>
      <c r="Y21" s="71">
        <v>87</v>
      </c>
      <c r="Z21" s="192" t="str">
        <f t="shared" si="2"/>
        <v/>
      </c>
      <c r="AA21" s="172"/>
      <c r="AB21" s="172"/>
      <c r="AC21" s="172"/>
      <c r="AD21" s="172"/>
    </row>
    <row r="22" spans="1:30" s="45" customFormat="1">
      <c r="A22" s="53">
        <v>86</v>
      </c>
      <c r="B22" s="60" t="s">
        <v>223</v>
      </c>
      <c r="C22" s="60">
        <v>1991</v>
      </c>
      <c r="D22" s="60" t="s">
        <v>224</v>
      </c>
      <c r="E22" s="56" t="s">
        <v>20</v>
      </c>
      <c r="F22" s="69">
        <v>32961</v>
      </c>
      <c r="G22" s="54" t="s">
        <v>227</v>
      </c>
      <c r="H22" s="54" t="s">
        <v>146</v>
      </c>
      <c r="I22" s="54"/>
      <c r="J22" s="54" t="s">
        <v>1034</v>
      </c>
      <c r="K22" s="54" t="s">
        <v>1035</v>
      </c>
      <c r="L22" s="54" t="s">
        <v>232</v>
      </c>
      <c r="M22" s="54" t="s">
        <v>233</v>
      </c>
      <c r="N22" s="54"/>
      <c r="O22" s="54">
        <v>10</v>
      </c>
      <c r="P22" s="54"/>
      <c r="Q22" s="54"/>
      <c r="R22" s="54"/>
      <c r="S22" s="54"/>
      <c r="T22" s="54"/>
      <c r="U22" s="54"/>
      <c r="V22" s="54"/>
      <c r="W22" s="54"/>
      <c r="X22" s="66" t="str">
        <f t="shared" si="0"/>
        <v/>
      </c>
      <c r="Y22" s="71">
        <v>88.2</v>
      </c>
      <c r="Z22" s="192" t="str">
        <f t="shared" si="2"/>
        <v/>
      </c>
      <c r="AA22" s="172"/>
      <c r="AB22" s="172"/>
      <c r="AC22" s="172"/>
      <c r="AD22" s="172"/>
    </row>
    <row r="23" spans="1:30" s="45" customFormat="1">
      <c r="A23" s="53">
        <v>86</v>
      </c>
      <c r="B23" s="60" t="s">
        <v>223</v>
      </c>
      <c r="C23" s="60">
        <v>1991</v>
      </c>
      <c r="D23" s="60" t="s">
        <v>224</v>
      </c>
      <c r="E23" s="56" t="s">
        <v>20</v>
      </c>
      <c r="F23" s="69">
        <v>33009</v>
      </c>
      <c r="G23" s="54" t="s">
        <v>227</v>
      </c>
      <c r="H23" s="54" t="s">
        <v>146</v>
      </c>
      <c r="I23" s="54"/>
      <c r="J23" s="54" t="s">
        <v>1034</v>
      </c>
      <c r="K23" s="54" t="s">
        <v>1035</v>
      </c>
      <c r="L23" s="54" t="s">
        <v>232</v>
      </c>
      <c r="M23" s="54" t="s">
        <v>233</v>
      </c>
      <c r="N23" s="54"/>
      <c r="O23" s="54">
        <v>30</v>
      </c>
      <c r="P23" s="54"/>
      <c r="Q23" s="54"/>
      <c r="R23" s="54"/>
      <c r="S23" s="54"/>
      <c r="T23" s="54"/>
      <c r="U23" s="54"/>
      <c r="V23" s="54"/>
      <c r="W23" s="54"/>
      <c r="X23" s="66" t="str">
        <f t="shared" si="0"/>
        <v/>
      </c>
      <c r="Y23" s="71">
        <v>89.8</v>
      </c>
      <c r="Z23" s="192" t="str">
        <f t="shared" si="2"/>
        <v/>
      </c>
      <c r="AA23" s="172"/>
      <c r="AB23" s="172"/>
      <c r="AC23" s="172"/>
      <c r="AD23" s="172"/>
    </row>
    <row r="24" spans="1:30" s="45" customFormat="1">
      <c r="A24" s="53">
        <v>86</v>
      </c>
      <c r="B24" s="60" t="s">
        <v>223</v>
      </c>
      <c r="C24" s="60">
        <v>1991</v>
      </c>
      <c r="D24" s="60" t="s">
        <v>224</v>
      </c>
      <c r="E24" s="56" t="s">
        <v>20</v>
      </c>
      <c r="F24" s="69">
        <v>33093</v>
      </c>
      <c r="G24" s="54" t="s">
        <v>227</v>
      </c>
      <c r="H24" s="54" t="s">
        <v>146</v>
      </c>
      <c r="I24" s="54"/>
      <c r="J24" s="54" t="s">
        <v>1034</v>
      </c>
      <c r="K24" s="54" t="s">
        <v>1035</v>
      </c>
      <c r="L24" s="54" t="s">
        <v>232</v>
      </c>
      <c r="M24" s="54" t="s">
        <v>233</v>
      </c>
      <c r="N24" s="54"/>
      <c r="O24" s="54">
        <v>38</v>
      </c>
      <c r="P24" s="54"/>
      <c r="Q24" s="54"/>
      <c r="R24" s="54"/>
      <c r="S24" s="54"/>
      <c r="T24" s="54"/>
      <c r="U24" s="54"/>
      <c r="V24" s="54"/>
      <c r="W24" s="54"/>
      <c r="X24" s="66" t="str">
        <f t="shared" si="0"/>
        <v/>
      </c>
      <c r="Y24" s="71">
        <v>91.6</v>
      </c>
      <c r="Z24" s="192" t="str">
        <f t="shared" si="2"/>
        <v/>
      </c>
      <c r="AA24" s="172"/>
      <c r="AB24" s="172"/>
      <c r="AC24" s="172"/>
      <c r="AD24" s="172"/>
    </row>
    <row r="25" spans="1:30" s="45" customFormat="1">
      <c r="A25" s="53">
        <v>86</v>
      </c>
      <c r="B25" s="60" t="s">
        <v>223</v>
      </c>
      <c r="C25" s="60">
        <v>1991</v>
      </c>
      <c r="D25" s="60" t="s">
        <v>224</v>
      </c>
      <c r="E25" s="56" t="s">
        <v>20</v>
      </c>
      <c r="F25" s="69">
        <v>32961</v>
      </c>
      <c r="G25" s="54" t="s">
        <v>227</v>
      </c>
      <c r="H25" s="54" t="s">
        <v>146</v>
      </c>
      <c r="I25" s="54"/>
      <c r="J25" s="54" t="s">
        <v>1034</v>
      </c>
      <c r="K25" s="54" t="s">
        <v>1035</v>
      </c>
      <c r="L25" s="54" t="s">
        <v>232</v>
      </c>
      <c r="M25" s="54" t="s">
        <v>233</v>
      </c>
      <c r="N25" s="54"/>
      <c r="O25" s="54">
        <v>16</v>
      </c>
      <c r="P25" s="54"/>
      <c r="Q25" s="54"/>
      <c r="R25" s="54"/>
      <c r="S25" s="54"/>
      <c r="T25" s="54"/>
      <c r="U25" s="54"/>
      <c r="V25" s="54"/>
      <c r="W25" s="54"/>
      <c r="X25" s="66" t="str">
        <f t="shared" si="0"/>
        <v/>
      </c>
      <c r="Y25" s="71">
        <v>96.3</v>
      </c>
      <c r="Z25" s="192" t="str">
        <f t="shared" si="2"/>
        <v/>
      </c>
      <c r="AA25" s="172"/>
      <c r="AB25" s="172"/>
      <c r="AC25" s="172"/>
      <c r="AD25" s="172"/>
    </row>
    <row r="26" spans="1:30" s="45" customFormat="1">
      <c r="A26" s="53">
        <v>86</v>
      </c>
      <c r="B26" s="60" t="s">
        <v>223</v>
      </c>
      <c r="C26" s="60">
        <v>1991</v>
      </c>
      <c r="D26" s="60" t="s">
        <v>224</v>
      </c>
      <c r="E26" s="56" t="s">
        <v>20</v>
      </c>
      <c r="F26" s="69">
        <v>33009</v>
      </c>
      <c r="G26" s="54" t="s">
        <v>227</v>
      </c>
      <c r="H26" s="54" t="s">
        <v>146</v>
      </c>
      <c r="I26" s="54"/>
      <c r="J26" s="54" t="s">
        <v>1034</v>
      </c>
      <c r="K26" s="54" t="s">
        <v>1035</v>
      </c>
      <c r="L26" s="54" t="s">
        <v>232</v>
      </c>
      <c r="M26" s="54" t="s">
        <v>233</v>
      </c>
      <c r="N26" s="54"/>
      <c r="O26" s="54">
        <v>33</v>
      </c>
      <c r="P26" s="54"/>
      <c r="Q26" s="54"/>
      <c r="R26" s="54"/>
      <c r="S26" s="54"/>
      <c r="T26" s="54"/>
      <c r="U26" s="54"/>
      <c r="V26" s="54"/>
      <c r="W26" s="54"/>
      <c r="X26" s="66" t="str">
        <f t="shared" si="0"/>
        <v/>
      </c>
      <c r="Y26" s="71">
        <v>106.5</v>
      </c>
      <c r="Z26" s="192" t="str">
        <f t="shared" si="2"/>
        <v/>
      </c>
      <c r="AA26" s="172"/>
      <c r="AB26" s="172"/>
      <c r="AC26" s="172"/>
      <c r="AD26" s="172"/>
    </row>
    <row r="27" spans="1:30" s="45" customFormat="1">
      <c r="A27" s="53">
        <v>86</v>
      </c>
      <c r="B27" s="60" t="s">
        <v>223</v>
      </c>
      <c r="C27" s="60">
        <v>1991</v>
      </c>
      <c r="D27" s="60" t="s">
        <v>224</v>
      </c>
      <c r="E27" s="56" t="s">
        <v>20</v>
      </c>
      <c r="F27" s="69">
        <v>33008</v>
      </c>
      <c r="G27" s="54" t="s">
        <v>227</v>
      </c>
      <c r="H27" s="54" t="s">
        <v>146</v>
      </c>
      <c r="I27" s="54"/>
      <c r="J27" s="54" t="s">
        <v>1034</v>
      </c>
      <c r="K27" s="54" t="s">
        <v>1035</v>
      </c>
      <c r="L27" s="54" t="s">
        <v>232</v>
      </c>
      <c r="M27" s="54" t="s">
        <v>233</v>
      </c>
      <c r="N27" s="54"/>
      <c r="O27" s="54">
        <v>22</v>
      </c>
      <c r="P27" s="54"/>
      <c r="Q27" s="54"/>
      <c r="R27" s="54"/>
      <c r="S27" s="54"/>
      <c r="T27" s="54"/>
      <c r="U27" s="54"/>
      <c r="V27" s="54"/>
      <c r="W27" s="54"/>
      <c r="X27" s="66" t="str">
        <f t="shared" si="0"/>
        <v/>
      </c>
      <c r="Y27" s="71">
        <v>117.4</v>
      </c>
      <c r="Z27" s="192" t="str">
        <f t="shared" si="2"/>
        <v/>
      </c>
      <c r="AA27" s="172"/>
      <c r="AB27" s="172"/>
      <c r="AC27" s="172"/>
      <c r="AD27" s="172"/>
    </row>
    <row r="28" spans="1:30" s="45" customFormat="1">
      <c r="A28" s="53">
        <v>86</v>
      </c>
      <c r="B28" s="60" t="s">
        <v>223</v>
      </c>
      <c r="C28" s="60">
        <v>1991</v>
      </c>
      <c r="D28" s="60" t="s">
        <v>224</v>
      </c>
      <c r="E28" s="56" t="s">
        <v>20</v>
      </c>
      <c r="F28" s="69">
        <v>33093</v>
      </c>
      <c r="G28" s="54" t="s">
        <v>227</v>
      </c>
      <c r="H28" s="54" t="s">
        <v>146</v>
      </c>
      <c r="I28" s="54"/>
      <c r="J28" s="54" t="s">
        <v>1034</v>
      </c>
      <c r="K28" s="54" t="s">
        <v>1035</v>
      </c>
      <c r="L28" s="54" t="s">
        <v>232</v>
      </c>
      <c r="M28" s="54" t="s">
        <v>233</v>
      </c>
      <c r="N28" s="54"/>
      <c r="O28" s="54">
        <v>36</v>
      </c>
      <c r="P28" s="54"/>
      <c r="Q28" s="54"/>
      <c r="R28" s="54"/>
      <c r="S28" s="54"/>
      <c r="T28" s="54"/>
      <c r="U28" s="54"/>
      <c r="V28" s="54"/>
      <c r="W28" s="54"/>
      <c r="X28" s="66" t="str">
        <f t="shared" si="0"/>
        <v/>
      </c>
      <c r="Y28" s="71">
        <v>167.4</v>
      </c>
      <c r="Z28" s="192" t="str">
        <f t="shared" si="2"/>
        <v/>
      </c>
      <c r="AA28" s="172"/>
      <c r="AB28" s="172"/>
      <c r="AC28" s="172"/>
      <c r="AD28" s="172"/>
    </row>
    <row r="29" spans="1:30" s="45" customFormat="1">
      <c r="A29" s="53">
        <v>86</v>
      </c>
      <c r="B29" s="60" t="s">
        <v>223</v>
      </c>
      <c r="C29" s="60">
        <v>1991</v>
      </c>
      <c r="D29" s="60" t="s">
        <v>224</v>
      </c>
      <c r="E29" s="56" t="s">
        <v>20</v>
      </c>
      <c r="F29" s="69">
        <v>33093</v>
      </c>
      <c r="G29" s="54" t="s">
        <v>227</v>
      </c>
      <c r="H29" s="54" t="s">
        <v>146</v>
      </c>
      <c r="I29" s="54"/>
      <c r="J29" s="54" t="s">
        <v>1034</v>
      </c>
      <c r="K29" s="54" t="s">
        <v>1035</v>
      </c>
      <c r="L29" s="54" t="s">
        <v>232</v>
      </c>
      <c r="M29" s="54" t="s">
        <v>233</v>
      </c>
      <c r="N29" s="54"/>
      <c r="O29" s="54">
        <v>45</v>
      </c>
      <c r="P29" s="54"/>
      <c r="Q29" s="54"/>
      <c r="R29" s="54"/>
      <c r="S29" s="54"/>
      <c r="T29" s="54"/>
      <c r="U29" s="54"/>
      <c r="V29" s="54"/>
      <c r="W29" s="54"/>
      <c r="X29" s="66" t="str">
        <f t="shared" si="0"/>
        <v/>
      </c>
      <c r="Y29" s="71">
        <v>181.1</v>
      </c>
      <c r="Z29" s="192" t="str">
        <f t="shared" si="2"/>
        <v/>
      </c>
      <c r="AA29" s="172"/>
      <c r="AB29" s="172"/>
      <c r="AC29" s="172"/>
      <c r="AD29" s="172"/>
    </row>
    <row r="30" spans="1:30" s="45" customFormat="1">
      <c r="A30" s="66"/>
      <c r="B30" s="67" t="s">
        <v>1025</v>
      </c>
      <c r="C30" s="171">
        <v>1996</v>
      </c>
      <c r="D30" s="66"/>
      <c r="E30" s="73" t="s">
        <v>49</v>
      </c>
      <c r="F30" s="66"/>
      <c r="G30" s="66"/>
      <c r="H30" s="67" t="s">
        <v>146</v>
      </c>
      <c r="I30" s="66"/>
      <c r="J30" s="66" t="s">
        <v>1034</v>
      </c>
      <c r="K30" s="54" t="s">
        <v>1035</v>
      </c>
      <c r="L30" s="67" t="s">
        <v>1033</v>
      </c>
      <c r="M30" s="66"/>
      <c r="N30" s="66"/>
      <c r="O30" s="67" t="s">
        <v>1029</v>
      </c>
      <c r="P30" s="66"/>
      <c r="Q30" s="66"/>
      <c r="R30" s="66"/>
      <c r="S30" s="66">
        <v>90.1</v>
      </c>
      <c r="T30" s="66"/>
      <c r="U30" s="66">
        <f>+S30</f>
        <v>90.1</v>
      </c>
      <c r="V30" s="66">
        <f>147.8/2</f>
        <v>73.900000000000006</v>
      </c>
      <c r="W30" s="66"/>
      <c r="X30" s="66">
        <f t="shared" si="0"/>
        <v>0.90099999999999991</v>
      </c>
      <c r="Y30" s="206">
        <f>+V30</f>
        <v>73.900000000000006</v>
      </c>
      <c r="Z30" s="192" t="str">
        <f t="shared" si="2"/>
        <v>F</v>
      </c>
      <c r="AA30" s="172"/>
      <c r="AB30" s="172"/>
      <c r="AC30" s="172"/>
      <c r="AD30" s="172"/>
    </row>
    <row r="31" spans="1:30" s="45" customFormat="1">
      <c r="A31" s="53">
        <v>174</v>
      </c>
      <c r="B31" s="54" t="s">
        <v>697</v>
      </c>
      <c r="C31" s="54">
        <v>2009</v>
      </c>
      <c r="D31" s="78" t="s">
        <v>698</v>
      </c>
      <c r="E31" s="56" t="s">
        <v>20</v>
      </c>
      <c r="F31" s="57" t="s">
        <v>701</v>
      </c>
      <c r="G31" s="54" t="s">
        <v>718</v>
      </c>
      <c r="H31" s="54" t="s">
        <v>146</v>
      </c>
      <c r="I31" s="54"/>
      <c r="J31" s="66" t="s">
        <v>1034</v>
      </c>
      <c r="K31" s="54" t="s">
        <v>1035</v>
      </c>
      <c r="L31" s="54" t="s">
        <v>232</v>
      </c>
      <c r="M31" s="59"/>
      <c r="N31" s="59"/>
      <c r="O31" s="54" t="s">
        <v>232</v>
      </c>
      <c r="P31" s="60"/>
      <c r="Q31" s="60"/>
      <c r="R31" s="54"/>
      <c r="S31" s="54"/>
      <c r="T31" s="54"/>
      <c r="U31" s="61">
        <v>0.91400000000000003</v>
      </c>
      <c r="V31" s="61"/>
      <c r="W31" s="61"/>
      <c r="X31" s="66">
        <f t="shared" si="0"/>
        <v>0.91400000000000003</v>
      </c>
      <c r="Y31" s="71">
        <v>86.1</v>
      </c>
      <c r="Z31" s="192" t="str">
        <f t="shared" si="2"/>
        <v>F</v>
      </c>
      <c r="AA31" s="172"/>
      <c r="AB31" s="172"/>
      <c r="AC31" s="172"/>
      <c r="AD31" s="172"/>
    </row>
    <row r="32" spans="1:30" s="45" customFormat="1">
      <c r="A32" s="66"/>
      <c r="B32" s="67" t="s">
        <v>1025</v>
      </c>
      <c r="C32" s="171">
        <v>1996</v>
      </c>
      <c r="D32" s="66"/>
      <c r="E32" s="73" t="s">
        <v>49</v>
      </c>
      <c r="F32" s="66"/>
      <c r="G32" s="66"/>
      <c r="H32" s="67" t="s">
        <v>146</v>
      </c>
      <c r="I32" s="66"/>
      <c r="J32" s="66" t="s">
        <v>1034</v>
      </c>
      <c r="K32" s="54" t="s">
        <v>1035</v>
      </c>
      <c r="L32" s="67" t="s">
        <v>1032</v>
      </c>
      <c r="M32" s="66"/>
      <c r="N32" s="66"/>
      <c r="O32" s="67" t="s">
        <v>1028</v>
      </c>
      <c r="P32" s="66"/>
      <c r="Q32" s="66"/>
      <c r="R32" s="66"/>
      <c r="S32" s="66">
        <v>91.48</v>
      </c>
      <c r="T32" s="66"/>
      <c r="U32" s="66">
        <f>+S32</f>
        <v>91.48</v>
      </c>
      <c r="V32" s="66">
        <f>96.1/2</f>
        <v>48.05</v>
      </c>
      <c r="W32" s="66"/>
      <c r="X32" s="66">
        <f t="shared" si="0"/>
        <v>0.91480000000000006</v>
      </c>
      <c r="Y32" s="206">
        <f>+V32</f>
        <v>48.05</v>
      </c>
      <c r="Z32" s="192" t="str">
        <f t="shared" si="2"/>
        <v>F</v>
      </c>
      <c r="AA32" s="172"/>
      <c r="AB32" s="172"/>
      <c r="AC32" s="172"/>
      <c r="AD32" s="172"/>
    </row>
    <row r="33" spans="1:30" s="45" customFormat="1">
      <c r="A33" s="53">
        <v>172</v>
      </c>
      <c r="B33" s="54" t="s">
        <v>585</v>
      </c>
      <c r="C33" s="54">
        <v>2010</v>
      </c>
      <c r="D33" s="54" t="s">
        <v>586</v>
      </c>
      <c r="E33" s="56" t="s">
        <v>589</v>
      </c>
      <c r="F33" s="57">
        <v>40219</v>
      </c>
      <c r="G33" s="54" t="s">
        <v>590</v>
      </c>
      <c r="H33" s="54" t="s">
        <v>146</v>
      </c>
      <c r="I33" s="54"/>
      <c r="J33" s="66" t="s">
        <v>1034</v>
      </c>
      <c r="K33" s="54" t="s">
        <v>1035</v>
      </c>
      <c r="L33" s="54" t="s">
        <v>593</v>
      </c>
      <c r="M33" s="88" t="s">
        <v>233</v>
      </c>
      <c r="N33" s="88" t="s">
        <v>594</v>
      </c>
      <c r="O33" s="54"/>
      <c r="P33" s="60"/>
      <c r="Q33" s="60"/>
      <c r="R33" s="54"/>
      <c r="S33" s="54"/>
      <c r="T33" s="54"/>
      <c r="U33" s="60">
        <v>0.93899999999999995</v>
      </c>
      <c r="V33" s="167"/>
      <c r="W33" s="167"/>
      <c r="X33" s="66">
        <f t="shared" si="0"/>
        <v>0.93899999999999995</v>
      </c>
      <c r="Y33" s="71">
        <v>74.94</v>
      </c>
      <c r="Z33" s="192" t="str">
        <f t="shared" si="2"/>
        <v>F</v>
      </c>
      <c r="AA33" s="172"/>
      <c r="AB33" s="172"/>
      <c r="AC33" s="172"/>
      <c r="AD33" s="172"/>
    </row>
    <row r="34" spans="1:30" s="45" customFormat="1">
      <c r="A34" s="53">
        <v>203</v>
      </c>
      <c r="B34" s="73" t="s">
        <v>940</v>
      </c>
      <c r="C34" s="54">
        <v>2011</v>
      </c>
      <c r="D34" s="73" t="s">
        <v>941</v>
      </c>
      <c r="E34" s="56" t="s">
        <v>20</v>
      </c>
      <c r="F34" s="54">
        <v>2009</v>
      </c>
      <c r="G34" s="54" t="s">
        <v>326</v>
      </c>
      <c r="H34" s="54"/>
      <c r="I34" s="54"/>
      <c r="J34" s="66" t="s">
        <v>1034</v>
      </c>
      <c r="K34" s="54" t="s">
        <v>1035</v>
      </c>
      <c r="L34" s="54" t="s">
        <v>232</v>
      </c>
      <c r="M34" s="54"/>
      <c r="N34" s="54"/>
      <c r="O34" s="54">
        <v>59</v>
      </c>
      <c r="P34" s="54"/>
      <c r="Q34" s="54"/>
      <c r="R34" s="54"/>
      <c r="S34" s="54"/>
      <c r="T34" s="54"/>
      <c r="U34" s="54">
        <v>0.94</v>
      </c>
      <c r="V34" s="54"/>
      <c r="W34" s="54"/>
      <c r="X34" s="66">
        <f t="shared" ref="X34:X65" si="3">IF(R34&lt;&gt;0,IF(R34&gt;1,R34/100,R34),IF(U34&lt;&gt;0,IF(U34&gt;1,U34/100,U34),""))</f>
        <v>0.94</v>
      </c>
      <c r="Y34" s="71">
        <v>71.099999999999994</v>
      </c>
      <c r="Z34" s="192" t="str">
        <f t="shared" si="2"/>
        <v>F</v>
      </c>
      <c r="AA34" s="172"/>
      <c r="AB34" s="172"/>
      <c r="AC34" s="172"/>
      <c r="AD34" s="172"/>
    </row>
    <row r="35" spans="1:30" s="45" customFormat="1">
      <c r="A35" s="53">
        <v>66</v>
      </c>
      <c r="B35" s="60" t="s">
        <v>45</v>
      </c>
      <c r="C35" s="60">
        <v>1989</v>
      </c>
      <c r="D35" s="60" t="s">
        <v>187</v>
      </c>
      <c r="E35" s="56" t="s">
        <v>49</v>
      </c>
      <c r="F35" s="54" t="s">
        <v>192</v>
      </c>
      <c r="G35" s="54" t="s">
        <v>190</v>
      </c>
      <c r="H35" s="54" t="s">
        <v>146</v>
      </c>
      <c r="I35" s="54"/>
      <c r="J35" s="54" t="s">
        <v>1034</v>
      </c>
      <c r="K35" s="54" t="s">
        <v>1035</v>
      </c>
      <c r="L35" s="54" t="s">
        <v>193</v>
      </c>
      <c r="M35" s="54"/>
      <c r="N35" s="54"/>
      <c r="O35" s="54" t="s">
        <v>199</v>
      </c>
      <c r="P35" s="54"/>
      <c r="Q35" s="54"/>
      <c r="R35" s="54"/>
      <c r="S35" s="54"/>
      <c r="T35" s="54"/>
      <c r="U35" s="54"/>
      <c r="V35" s="54"/>
      <c r="W35" s="54"/>
      <c r="X35" s="66" t="str">
        <f t="shared" si="3"/>
        <v/>
      </c>
      <c r="Y35" s="71">
        <v>48</v>
      </c>
      <c r="Z35" s="192" t="s">
        <v>1192</v>
      </c>
      <c r="AA35" s="172"/>
      <c r="AB35" s="172"/>
      <c r="AC35" s="172"/>
      <c r="AD35" s="172"/>
    </row>
    <row r="36" spans="1:30" s="45" customFormat="1">
      <c r="A36" s="53">
        <v>66</v>
      </c>
      <c r="B36" s="60" t="s">
        <v>45</v>
      </c>
      <c r="C36" s="60">
        <v>1989</v>
      </c>
      <c r="D36" s="60" t="s">
        <v>187</v>
      </c>
      <c r="E36" s="56" t="s">
        <v>49</v>
      </c>
      <c r="F36" s="54" t="s">
        <v>192</v>
      </c>
      <c r="G36" s="54" t="s">
        <v>190</v>
      </c>
      <c r="H36" s="54" t="s">
        <v>146</v>
      </c>
      <c r="I36" s="54"/>
      <c r="J36" s="54" t="s">
        <v>1034</v>
      </c>
      <c r="K36" s="54" t="s">
        <v>1035</v>
      </c>
      <c r="L36" s="54" t="s">
        <v>193</v>
      </c>
      <c r="M36" s="54"/>
      <c r="N36" s="54"/>
      <c r="O36" s="54" t="s">
        <v>194</v>
      </c>
      <c r="P36" s="54"/>
      <c r="Q36" s="54"/>
      <c r="R36" s="54"/>
      <c r="S36" s="54"/>
      <c r="T36" s="54"/>
      <c r="U36" s="54"/>
      <c r="V36" s="54"/>
      <c r="W36" s="54"/>
      <c r="X36" s="66" t="str">
        <f t="shared" si="3"/>
        <v/>
      </c>
      <c r="Y36" s="71">
        <v>55.8</v>
      </c>
      <c r="Z36" s="192" t="s">
        <v>1192</v>
      </c>
      <c r="AA36" s="172"/>
      <c r="AB36" s="172"/>
      <c r="AC36" s="172"/>
      <c r="AD36" s="172"/>
    </row>
    <row r="37" spans="1:30" s="45" customFormat="1">
      <c r="A37" s="53">
        <v>66</v>
      </c>
      <c r="B37" s="60" t="s">
        <v>45</v>
      </c>
      <c r="C37" s="60">
        <v>1989</v>
      </c>
      <c r="D37" s="60" t="s">
        <v>187</v>
      </c>
      <c r="E37" s="56" t="s">
        <v>49</v>
      </c>
      <c r="F37" s="54" t="s">
        <v>192</v>
      </c>
      <c r="G37" s="54" t="s">
        <v>190</v>
      </c>
      <c r="H37" s="54" t="s">
        <v>146</v>
      </c>
      <c r="I37" s="54"/>
      <c r="J37" s="54" t="s">
        <v>1034</v>
      </c>
      <c r="K37" s="54" t="s">
        <v>1035</v>
      </c>
      <c r="L37" s="54" t="s">
        <v>193</v>
      </c>
      <c r="M37" s="54"/>
      <c r="N37" s="54"/>
      <c r="O37" s="54" t="s">
        <v>200</v>
      </c>
      <c r="P37" s="54"/>
      <c r="Q37" s="54"/>
      <c r="R37" s="54"/>
      <c r="S37" s="54"/>
      <c r="T37" s="54"/>
      <c r="U37" s="54"/>
      <c r="V37" s="54"/>
      <c r="W37" s="54"/>
      <c r="X37" s="66" t="str">
        <f t="shared" si="3"/>
        <v/>
      </c>
      <c r="Y37" s="71">
        <v>60.4</v>
      </c>
      <c r="Z37" s="192" t="s">
        <v>1192</v>
      </c>
      <c r="AA37" s="172"/>
      <c r="AB37" s="172"/>
      <c r="AC37" s="172"/>
      <c r="AD37" s="172"/>
    </row>
    <row r="38" spans="1:30" s="45" customFormat="1">
      <c r="A38" s="66"/>
      <c r="B38" s="67" t="s">
        <v>1025</v>
      </c>
      <c r="C38" s="171">
        <v>1996</v>
      </c>
      <c r="D38" s="66"/>
      <c r="E38" s="73" t="s">
        <v>49</v>
      </c>
      <c r="F38" s="66"/>
      <c r="G38" s="66"/>
      <c r="H38" s="67" t="s">
        <v>146</v>
      </c>
      <c r="I38" s="66"/>
      <c r="J38" s="66" t="s">
        <v>1034</v>
      </c>
      <c r="K38" s="54" t="s">
        <v>1035</v>
      </c>
      <c r="L38" s="67" t="s">
        <v>1032</v>
      </c>
      <c r="M38" s="66"/>
      <c r="N38" s="66"/>
      <c r="O38" s="67" t="s">
        <v>1028</v>
      </c>
      <c r="P38" s="66"/>
      <c r="Q38" s="66"/>
      <c r="R38" s="66"/>
      <c r="S38" s="66"/>
      <c r="T38" s="66">
        <v>84.74</v>
      </c>
      <c r="U38" s="66">
        <f>+T38</f>
        <v>84.74</v>
      </c>
      <c r="V38" s="66"/>
      <c r="W38" s="66">
        <f>231/2</f>
        <v>115.5</v>
      </c>
      <c r="X38" s="66">
        <f t="shared" si="3"/>
        <v>0.84739999999999993</v>
      </c>
      <c r="Y38" s="206">
        <f>+W38</f>
        <v>115.5</v>
      </c>
      <c r="Z38" s="192" t="str">
        <f t="shared" ref="Z38:Z69" si="4">IF(X38&lt;&gt;"",IF(X38&lt;0.9,"S","F"),"")</f>
        <v>S</v>
      </c>
      <c r="AA38" s="172"/>
      <c r="AB38" s="172"/>
      <c r="AC38" s="172"/>
      <c r="AD38" s="172"/>
    </row>
    <row r="39" spans="1:30" s="45" customFormat="1">
      <c r="A39" s="66"/>
      <c r="B39" s="67" t="s">
        <v>1025</v>
      </c>
      <c r="C39" s="171">
        <v>1996</v>
      </c>
      <c r="D39" s="66"/>
      <c r="E39" s="73" t="s">
        <v>49</v>
      </c>
      <c r="F39" s="66"/>
      <c r="G39" s="66"/>
      <c r="H39" s="67" t="s">
        <v>146</v>
      </c>
      <c r="I39" s="66"/>
      <c r="J39" s="66" t="s">
        <v>1034</v>
      </c>
      <c r="K39" s="54" t="s">
        <v>1036</v>
      </c>
      <c r="L39" s="67" t="s">
        <v>1031</v>
      </c>
      <c r="M39" s="66"/>
      <c r="N39" s="66"/>
      <c r="O39" s="67" t="s">
        <v>1027</v>
      </c>
      <c r="P39" s="66"/>
      <c r="Q39" s="66"/>
      <c r="R39" s="66"/>
      <c r="S39" s="66">
        <v>93.68</v>
      </c>
      <c r="T39" s="66"/>
      <c r="U39" s="66">
        <f>+S39</f>
        <v>93.68</v>
      </c>
      <c r="V39" s="66">
        <f>65.6/2</f>
        <v>32.799999999999997</v>
      </c>
      <c r="W39" s="66"/>
      <c r="X39" s="66">
        <f t="shared" si="3"/>
        <v>0.93680000000000008</v>
      </c>
      <c r="Y39" s="206">
        <f>+V39</f>
        <v>32.799999999999997</v>
      </c>
      <c r="Z39" s="192" t="str">
        <f t="shared" si="4"/>
        <v>F</v>
      </c>
      <c r="AA39" s="172"/>
      <c r="AB39" s="172"/>
      <c r="AC39" s="172"/>
      <c r="AD39" s="172"/>
    </row>
    <row r="40" spans="1:30" s="45" customFormat="1">
      <c r="A40" s="66"/>
      <c r="B40" s="67" t="s">
        <v>1025</v>
      </c>
      <c r="C40" s="171">
        <v>1996</v>
      </c>
      <c r="D40" s="66"/>
      <c r="E40" s="73" t="s">
        <v>49</v>
      </c>
      <c r="F40" s="66"/>
      <c r="G40" s="66"/>
      <c r="H40" s="67" t="s">
        <v>146</v>
      </c>
      <c r="I40" s="66"/>
      <c r="J40" s="66" t="s">
        <v>1034</v>
      </c>
      <c r="K40" s="54" t="s">
        <v>1036</v>
      </c>
      <c r="L40" s="67" t="s">
        <v>1031</v>
      </c>
      <c r="M40" s="66"/>
      <c r="N40" s="66"/>
      <c r="O40" s="67" t="s">
        <v>1027</v>
      </c>
      <c r="P40" s="66"/>
      <c r="Q40" s="66"/>
      <c r="R40" s="66"/>
      <c r="S40" s="66"/>
      <c r="T40" s="66">
        <v>85.28</v>
      </c>
      <c r="U40" s="66">
        <f>+T40</f>
        <v>85.28</v>
      </c>
      <c r="V40" s="66"/>
      <c r="W40" s="66">
        <f>222.6/2</f>
        <v>111.3</v>
      </c>
      <c r="X40" s="66">
        <f t="shared" si="3"/>
        <v>0.8528</v>
      </c>
      <c r="Y40" s="206">
        <f>+W40</f>
        <v>111.3</v>
      </c>
      <c r="Z40" s="192" t="str">
        <f t="shared" si="4"/>
        <v>S</v>
      </c>
      <c r="AA40" s="172"/>
      <c r="AB40" s="172"/>
      <c r="AC40" s="172"/>
      <c r="AD40" s="172"/>
    </row>
    <row r="41" spans="1:30" s="45" customFormat="1">
      <c r="A41" s="53">
        <v>63</v>
      </c>
      <c r="B41" s="60" t="s">
        <v>168</v>
      </c>
      <c r="C41" s="60">
        <v>1989</v>
      </c>
      <c r="D41" s="60" t="s">
        <v>169</v>
      </c>
      <c r="E41" s="90" t="s">
        <v>172</v>
      </c>
      <c r="F41" s="77">
        <v>32017</v>
      </c>
      <c r="G41" s="54" t="s">
        <v>181</v>
      </c>
      <c r="H41" s="78" t="s">
        <v>1135</v>
      </c>
      <c r="I41" s="78"/>
      <c r="J41" s="66" t="s">
        <v>1034</v>
      </c>
      <c r="K41" s="78" t="s">
        <v>1040</v>
      </c>
      <c r="L41" s="79" t="s">
        <v>182</v>
      </c>
      <c r="M41" s="79"/>
      <c r="N41" s="79"/>
      <c r="O41" s="79" t="s">
        <v>152</v>
      </c>
      <c r="P41" s="79"/>
      <c r="Q41" s="79"/>
      <c r="R41" s="54"/>
      <c r="S41" s="54"/>
      <c r="T41" s="54"/>
      <c r="U41" s="79"/>
      <c r="V41" s="165"/>
      <c r="W41" s="165"/>
      <c r="X41" s="66" t="str">
        <f t="shared" si="3"/>
        <v/>
      </c>
      <c r="Y41" s="82">
        <v>82</v>
      </c>
      <c r="Z41" s="192" t="str">
        <f t="shared" si="4"/>
        <v/>
      </c>
      <c r="AA41" s="172"/>
      <c r="AB41" s="172"/>
      <c r="AC41" s="172"/>
      <c r="AD41" s="172"/>
    </row>
    <row r="42" spans="1:30" s="45" customFormat="1">
      <c r="A42" s="53">
        <v>86</v>
      </c>
      <c r="B42" s="60" t="s">
        <v>223</v>
      </c>
      <c r="C42" s="60">
        <v>1991</v>
      </c>
      <c r="D42" s="60" t="s">
        <v>224</v>
      </c>
      <c r="E42" s="56" t="s">
        <v>20</v>
      </c>
      <c r="F42" s="69">
        <v>32961</v>
      </c>
      <c r="G42" s="54" t="s">
        <v>227</v>
      </c>
      <c r="H42" s="54" t="s">
        <v>146</v>
      </c>
      <c r="I42" s="54"/>
      <c r="J42" s="54" t="s">
        <v>1034</v>
      </c>
      <c r="K42" s="54" t="s">
        <v>1040</v>
      </c>
      <c r="L42" s="54" t="s">
        <v>230</v>
      </c>
      <c r="M42" s="54" t="s">
        <v>231</v>
      </c>
      <c r="N42" s="54"/>
      <c r="O42" s="54">
        <v>20</v>
      </c>
      <c r="P42" s="54"/>
      <c r="Q42" s="54"/>
      <c r="R42" s="54"/>
      <c r="S42" s="54"/>
      <c r="T42" s="54"/>
      <c r="U42" s="54"/>
      <c r="V42" s="54"/>
      <c r="W42" s="54"/>
      <c r="X42" s="66" t="str">
        <f t="shared" si="3"/>
        <v/>
      </c>
      <c r="Y42" s="71">
        <v>61.9</v>
      </c>
      <c r="Z42" s="192" t="str">
        <f t="shared" si="4"/>
        <v/>
      </c>
      <c r="AA42" s="172"/>
      <c r="AB42" s="172"/>
      <c r="AC42" s="172"/>
      <c r="AD42" s="172"/>
    </row>
    <row r="43" spans="1:30" s="45" customFormat="1">
      <c r="A43" s="53">
        <v>86</v>
      </c>
      <c r="B43" s="60" t="s">
        <v>223</v>
      </c>
      <c r="C43" s="60">
        <v>1991</v>
      </c>
      <c r="D43" s="60" t="s">
        <v>224</v>
      </c>
      <c r="E43" s="56" t="s">
        <v>20</v>
      </c>
      <c r="F43" s="69">
        <v>32961</v>
      </c>
      <c r="G43" s="54" t="s">
        <v>227</v>
      </c>
      <c r="H43" s="54" t="s">
        <v>146</v>
      </c>
      <c r="I43" s="54"/>
      <c r="J43" s="54" t="s">
        <v>1034</v>
      </c>
      <c r="K43" s="54" t="s">
        <v>1040</v>
      </c>
      <c r="L43" s="54" t="s">
        <v>230</v>
      </c>
      <c r="M43" s="54" t="s">
        <v>231</v>
      </c>
      <c r="N43" s="54"/>
      <c r="O43" s="54">
        <v>13</v>
      </c>
      <c r="P43" s="54"/>
      <c r="Q43" s="54"/>
      <c r="R43" s="54"/>
      <c r="S43" s="54"/>
      <c r="T43" s="54"/>
      <c r="U43" s="54"/>
      <c r="V43" s="54"/>
      <c r="W43" s="54"/>
      <c r="X43" s="66" t="str">
        <f t="shared" si="3"/>
        <v/>
      </c>
      <c r="Y43" s="71">
        <v>67.7</v>
      </c>
      <c r="Z43" s="192" t="str">
        <f t="shared" si="4"/>
        <v/>
      </c>
      <c r="AA43" s="172"/>
      <c r="AB43" s="172"/>
      <c r="AC43" s="172"/>
      <c r="AD43" s="172"/>
    </row>
    <row r="44" spans="1:30" s="45" customFormat="1">
      <c r="A44" s="53">
        <v>86</v>
      </c>
      <c r="B44" s="60" t="s">
        <v>223</v>
      </c>
      <c r="C44" s="60">
        <v>1991</v>
      </c>
      <c r="D44" s="60" t="s">
        <v>224</v>
      </c>
      <c r="E44" s="56" t="s">
        <v>20</v>
      </c>
      <c r="F44" s="69">
        <v>32961</v>
      </c>
      <c r="G44" s="54" t="s">
        <v>227</v>
      </c>
      <c r="H44" s="54" t="s">
        <v>146</v>
      </c>
      <c r="I44" s="54"/>
      <c r="J44" s="54" t="s">
        <v>1034</v>
      </c>
      <c r="K44" s="54" t="s">
        <v>1040</v>
      </c>
      <c r="L44" s="54" t="s">
        <v>230</v>
      </c>
      <c r="M44" s="54" t="s">
        <v>231</v>
      </c>
      <c r="N44" s="54"/>
      <c r="O44" s="54">
        <v>19</v>
      </c>
      <c r="P44" s="54"/>
      <c r="Q44" s="54"/>
      <c r="R44" s="54"/>
      <c r="S44" s="54"/>
      <c r="T44" s="54"/>
      <c r="U44" s="54"/>
      <c r="V44" s="54"/>
      <c r="W44" s="54"/>
      <c r="X44" s="66" t="str">
        <f t="shared" si="3"/>
        <v/>
      </c>
      <c r="Y44" s="71">
        <v>82.8</v>
      </c>
      <c r="Z44" s="192" t="str">
        <f t="shared" si="4"/>
        <v/>
      </c>
      <c r="AA44" s="172"/>
      <c r="AB44" s="172"/>
      <c r="AC44" s="172"/>
      <c r="AD44" s="172"/>
    </row>
    <row r="45" spans="1:30" s="45" customFormat="1">
      <c r="A45" s="53">
        <v>86</v>
      </c>
      <c r="B45" s="60" t="s">
        <v>223</v>
      </c>
      <c r="C45" s="60">
        <v>1991</v>
      </c>
      <c r="D45" s="60" t="s">
        <v>224</v>
      </c>
      <c r="E45" s="56" t="s">
        <v>20</v>
      </c>
      <c r="F45" s="69">
        <v>33009</v>
      </c>
      <c r="G45" s="54" t="s">
        <v>227</v>
      </c>
      <c r="H45" s="54" t="s">
        <v>146</v>
      </c>
      <c r="I45" s="54"/>
      <c r="J45" s="54" t="s">
        <v>1034</v>
      </c>
      <c r="K45" s="54" t="s">
        <v>1040</v>
      </c>
      <c r="L45" s="54" t="s">
        <v>230</v>
      </c>
      <c r="M45" s="54" t="s">
        <v>231</v>
      </c>
      <c r="N45" s="54"/>
      <c r="O45" s="54">
        <v>32</v>
      </c>
      <c r="P45" s="54"/>
      <c r="Q45" s="54"/>
      <c r="R45" s="54"/>
      <c r="S45" s="54"/>
      <c r="T45" s="54"/>
      <c r="U45" s="54"/>
      <c r="V45" s="54"/>
      <c r="W45" s="54"/>
      <c r="X45" s="66" t="str">
        <f t="shared" si="3"/>
        <v/>
      </c>
      <c r="Y45" s="71">
        <v>107</v>
      </c>
      <c r="Z45" s="192" t="str">
        <f t="shared" si="4"/>
        <v/>
      </c>
      <c r="AA45" s="172"/>
      <c r="AB45" s="172"/>
      <c r="AC45" s="172"/>
      <c r="AD45" s="172"/>
    </row>
    <row r="46" spans="1:30" s="45" customFormat="1">
      <c r="A46" s="53">
        <v>86</v>
      </c>
      <c r="B46" s="60" t="s">
        <v>223</v>
      </c>
      <c r="C46" s="60">
        <v>1991</v>
      </c>
      <c r="D46" s="60" t="s">
        <v>224</v>
      </c>
      <c r="E46" s="56" t="s">
        <v>20</v>
      </c>
      <c r="F46" s="69">
        <v>32857</v>
      </c>
      <c r="G46" s="54" t="s">
        <v>227</v>
      </c>
      <c r="H46" s="54" t="s">
        <v>146</v>
      </c>
      <c r="I46" s="54"/>
      <c r="J46" s="54" t="s">
        <v>1034</v>
      </c>
      <c r="K46" s="54" t="s">
        <v>1040</v>
      </c>
      <c r="L46" s="54" t="s">
        <v>230</v>
      </c>
      <c r="M46" s="54" t="s">
        <v>231</v>
      </c>
      <c r="N46" s="54"/>
      <c r="O46" s="54">
        <v>2</v>
      </c>
      <c r="P46" s="54"/>
      <c r="Q46" s="54"/>
      <c r="R46" s="54"/>
      <c r="S46" s="54"/>
      <c r="T46" s="54"/>
      <c r="U46" s="54"/>
      <c r="V46" s="54"/>
      <c r="W46" s="54"/>
      <c r="X46" s="66" t="str">
        <f t="shared" si="3"/>
        <v/>
      </c>
      <c r="Y46" s="71">
        <v>113</v>
      </c>
      <c r="Z46" s="192" t="str">
        <f t="shared" si="4"/>
        <v/>
      </c>
      <c r="AA46" s="172"/>
      <c r="AB46" s="172"/>
      <c r="AC46" s="172"/>
      <c r="AD46" s="172"/>
    </row>
    <row r="47" spans="1:30" s="45" customFormat="1">
      <c r="A47" s="53">
        <v>86</v>
      </c>
      <c r="B47" s="60" t="s">
        <v>223</v>
      </c>
      <c r="C47" s="60">
        <v>1991</v>
      </c>
      <c r="D47" s="60" t="s">
        <v>224</v>
      </c>
      <c r="E47" s="56" t="s">
        <v>20</v>
      </c>
      <c r="F47" s="69">
        <v>33008</v>
      </c>
      <c r="G47" s="54" t="s">
        <v>227</v>
      </c>
      <c r="H47" s="54" t="s">
        <v>146</v>
      </c>
      <c r="I47" s="54"/>
      <c r="J47" s="54" t="s">
        <v>1034</v>
      </c>
      <c r="K47" s="54" t="s">
        <v>1040</v>
      </c>
      <c r="L47" s="54" t="s">
        <v>230</v>
      </c>
      <c r="M47" s="54" t="s">
        <v>231</v>
      </c>
      <c r="N47" s="54"/>
      <c r="O47" s="54">
        <v>27</v>
      </c>
      <c r="P47" s="54"/>
      <c r="Q47" s="54"/>
      <c r="R47" s="54"/>
      <c r="S47" s="54"/>
      <c r="T47" s="54"/>
      <c r="U47" s="54"/>
      <c r="V47" s="54"/>
      <c r="W47" s="54"/>
      <c r="X47" s="66" t="str">
        <f t="shared" si="3"/>
        <v/>
      </c>
      <c r="Y47" s="71">
        <v>113.1</v>
      </c>
      <c r="Z47" s="192" t="str">
        <f t="shared" si="4"/>
        <v/>
      </c>
      <c r="AA47" s="172"/>
      <c r="AB47" s="172"/>
      <c r="AC47" s="172"/>
      <c r="AD47" s="172"/>
    </row>
    <row r="48" spans="1:30" s="45" customFormat="1">
      <c r="A48" s="53">
        <v>86</v>
      </c>
      <c r="B48" s="60" t="s">
        <v>223</v>
      </c>
      <c r="C48" s="60">
        <v>1991</v>
      </c>
      <c r="D48" s="60" t="s">
        <v>224</v>
      </c>
      <c r="E48" s="56" t="s">
        <v>20</v>
      </c>
      <c r="F48" s="69">
        <v>33008</v>
      </c>
      <c r="G48" s="54" t="s">
        <v>227</v>
      </c>
      <c r="H48" s="54" t="s">
        <v>146</v>
      </c>
      <c r="I48" s="54"/>
      <c r="J48" s="54" t="s">
        <v>1034</v>
      </c>
      <c r="K48" s="54" t="s">
        <v>1040</v>
      </c>
      <c r="L48" s="54" t="s">
        <v>230</v>
      </c>
      <c r="M48" s="54" t="s">
        <v>231</v>
      </c>
      <c r="N48" s="54"/>
      <c r="O48" s="54">
        <v>23</v>
      </c>
      <c r="P48" s="54"/>
      <c r="Q48" s="54"/>
      <c r="R48" s="54"/>
      <c r="S48" s="54"/>
      <c r="T48" s="54"/>
      <c r="U48" s="54"/>
      <c r="V48" s="54"/>
      <c r="W48" s="54"/>
      <c r="X48" s="66" t="str">
        <f t="shared" si="3"/>
        <v/>
      </c>
      <c r="Y48" s="71">
        <v>149.30000000000001</v>
      </c>
      <c r="Z48" s="192" t="str">
        <f t="shared" si="4"/>
        <v/>
      </c>
      <c r="AA48" s="172"/>
      <c r="AB48" s="172"/>
      <c r="AC48" s="172"/>
      <c r="AD48" s="172"/>
    </row>
    <row r="49" spans="1:30" s="45" customFormat="1">
      <c r="A49" s="53">
        <v>86</v>
      </c>
      <c r="B49" s="60" t="s">
        <v>223</v>
      </c>
      <c r="C49" s="60">
        <v>1991</v>
      </c>
      <c r="D49" s="60" t="s">
        <v>224</v>
      </c>
      <c r="E49" s="56" t="s">
        <v>20</v>
      </c>
      <c r="F49" s="69">
        <v>32857</v>
      </c>
      <c r="G49" s="54" t="s">
        <v>227</v>
      </c>
      <c r="H49" s="54" t="s">
        <v>146</v>
      </c>
      <c r="I49" s="54"/>
      <c r="J49" s="54" t="s">
        <v>1034</v>
      </c>
      <c r="K49" s="54" t="s">
        <v>1040</v>
      </c>
      <c r="L49" s="54" t="s">
        <v>230</v>
      </c>
      <c r="M49" s="54" t="s">
        <v>231</v>
      </c>
      <c r="N49" s="54"/>
      <c r="O49" s="54">
        <v>8</v>
      </c>
      <c r="P49" s="54"/>
      <c r="Q49" s="54"/>
      <c r="R49" s="54"/>
      <c r="S49" s="54"/>
      <c r="T49" s="54"/>
      <c r="U49" s="54"/>
      <c r="V49" s="54"/>
      <c r="W49" s="54"/>
      <c r="X49" s="66" t="str">
        <f t="shared" si="3"/>
        <v/>
      </c>
      <c r="Y49" s="71">
        <v>165</v>
      </c>
      <c r="Z49" s="192" t="str">
        <f t="shared" si="4"/>
        <v/>
      </c>
      <c r="AA49" s="172"/>
      <c r="AB49" s="172"/>
      <c r="AC49" s="172"/>
      <c r="AD49" s="172"/>
    </row>
    <row r="50" spans="1:30" s="45" customFormat="1">
      <c r="A50" s="53">
        <v>86</v>
      </c>
      <c r="B50" s="60" t="s">
        <v>223</v>
      </c>
      <c r="C50" s="60">
        <v>1991</v>
      </c>
      <c r="D50" s="60" t="s">
        <v>224</v>
      </c>
      <c r="E50" s="56" t="s">
        <v>20</v>
      </c>
      <c r="F50" s="69">
        <v>32961</v>
      </c>
      <c r="G50" s="54" t="s">
        <v>227</v>
      </c>
      <c r="H50" s="54" t="s">
        <v>146</v>
      </c>
      <c r="I50" s="54"/>
      <c r="J50" s="54" t="s">
        <v>1034</v>
      </c>
      <c r="K50" s="54" t="s">
        <v>1040</v>
      </c>
      <c r="L50" s="54" t="s">
        <v>230</v>
      </c>
      <c r="M50" s="54" t="s">
        <v>231</v>
      </c>
      <c r="N50" s="54"/>
      <c r="O50" s="54">
        <v>15</v>
      </c>
      <c r="P50" s="54"/>
      <c r="Q50" s="54"/>
      <c r="R50" s="54"/>
      <c r="S50" s="54"/>
      <c r="T50" s="54"/>
      <c r="U50" s="54"/>
      <c r="V50" s="54"/>
      <c r="W50" s="54"/>
      <c r="X50" s="66" t="str">
        <f t="shared" si="3"/>
        <v/>
      </c>
      <c r="Y50" s="71">
        <v>187.2</v>
      </c>
      <c r="Z50" s="192" t="str">
        <f t="shared" si="4"/>
        <v/>
      </c>
      <c r="AA50" s="172"/>
      <c r="AB50" s="172"/>
      <c r="AC50" s="172"/>
      <c r="AD50" s="172"/>
    </row>
    <row r="51" spans="1:30" s="45" customFormat="1">
      <c r="A51" s="53">
        <v>86</v>
      </c>
      <c r="B51" s="60" t="s">
        <v>223</v>
      </c>
      <c r="C51" s="60">
        <v>1991</v>
      </c>
      <c r="D51" s="60" t="s">
        <v>224</v>
      </c>
      <c r="E51" s="56" t="s">
        <v>20</v>
      </c>
      <c r="F51" s="69">
        <v>33093</v>
      </c>
      <c r="G51" s="54" t="s">
        <v>227</v>
      </c>
      <c r="H51" s="54" t="s">
        <v>146</v>
      </c>
      <c r="I51" s="54"/>
      <c r="J51" s="54" t="s">
        <v>1034</v>
      </c>
      <c r="K51" s="54" t="s">
        <v>1040</v>
      </c>
      <c r="L51" s="54" t="s">
        <v>230</v>
      </c>
      <c r="M51" s="54" t="s">
        <v>231</v>
      </c>
      <c r="N51" s="54"/>
      <c r="O51" s="54">
        <v>34</v>
      </c>
      <c r="P51" s="54"/>
      <c r="Q51" s="54"/>
      <c r="R51" s="54"/>
      <c r="S51" s="54"/>
      <c r="T51" s="54"/>
      <c r="U51" s="54"/>
      <c r="V51" s="54"/>
      <c r="W51" s="54"/>
      <c r="X51" s="66" t="str">
        <f t="shared" si="3"/>
        <v/>
      </c>
      <c r="Y51" s="71">
        <v>198.3</v>
      </c>
      <c r="Z51" s="192" t="str">
        <f t="shared" si="4"/>
        <v/>
      </c>
      <c r="AA51" s="172"/>
      <c r="AB51" s="172"/>
      <c r="AC51" s="172"/>
      <c r="AD51" s="172"/>
    </row>
    <row r="52" spans="1:30" s="45" customFormat="1">
      <c r="A52" s="53">
        <v>86</v>
      </c>
      <c r="B52" s="60" t="s">
        <v>223</v>
      </c>
      <c r="C52" s="60">
        <v>1991</v>
      </c>
      <c r="D52" s="60" t="s">
        <v>224</v>
      </c>
      <c r="E52" s="56" t="s">
        <v>20</v>
      </c>
      <c r="F52" s="69">
        <v>33093</v>
      </c>
      <c r="G52" s="54" t="s">
        <v>227</v>
      </c>
      <c r="H52" s="54" t="s">
        <v>146</v>
      </c>
      <c r="I52" s="54"/>
      <c r="J52" s="54" t="s">
        <v>1034</v>
      </c>
      <c r="K52" s="54" t="s">
        <v>1040</v>
      </c>
      <c r="L52" s="54" t="s">
        <v>230</v>
      </c>
      <c r="M52" s="54" t="s">
        <v>231</v>
      </c>
      <c r="N52" s="54"/>
      <c r="O52" s="54">
        <v>44</v>
      </c>
      <c r="P52" s="54"/>
      <c r="Q52" s="54"/>
      <c r="R52" s="54"/>
      <c r="S52" s="54"/>
      <c r="T52" s="54"/>
      <c r="U52" s="54"/>
      <c r="V52" s="54"/>
      <c r="W52" s="54"/>
      <c r="X52" s="66" t="str">
        <f t="shared" si="3"/>
        <v/>
      </c>
      <c r="Y52" s="71">
        <v>264.89999999999998</v>
      </c>
      <c r="Z52" s="192" t="str">
        <f t="shared" si="4"/>
        <v/>
      </c>
      <c r="AA52" s="172"/>
      <c r="AB52" s="172"/>
      <c r="AC52" s="172"/>
      <c r="AD52" s="172"/>
    </row>
    <row r="53" spans="1:30" s="45" customFormat="1">
      <c r="A53" s="53">
        <v>86</v>
      </c>
      <c r="B53" s="60" t="s">
        <v>223</v>
      </c>
      <c r="C53" s="60">
        <v>1991</v>
      </c>
      <c r="D53" s="60" t="s">
        <v>224</v>
      </c>
      <c r="E53" s="56" t="s">
        <v>20</v>
      </c>
      <c r="F53" s="69">
        <v>33093</v>
      </c>
      <c r="G53" s="54" t="s">
        <v>227</v>
      </c>
      <c r="H53" s="54" t="s">
        <v>146</v>
      </c>
      <c r="I53" s="54"/>
      <c r="J53" s="54" t="s">
        <v>1034</v>
      </c>
      <c r="K53" s="54" t="s">
        <v>1040</v>
      </c>
      <c r="L53" s="54" t="s">
        <v>230</v>
      </c>
      <c r="M53" s="54" t="s">
        <v>231</v>
      </c>
      <c r="N53" s="54"/>
      <c r="O53" s="54">
        <v>41</v>
      </c>
      <c r="P53" s="54"/>
      <c r="Q53" s="54"/>
      <c r="R53" s="54"/>
      <c r="S53" s="54"/>
      <c r="T53" s="54"/>
      <c r="U53" s="54"/>
      <c r="V53" s="54"/>
      <c r="W53" s="54"/>
      <c r="X53" s="66" t="str">
        <f t="shared" si="3"/>
        <v/>
      </c>
      <c r="Y53" s="71">
        <v>278.7</v>
      </c>
      <c r="Z53" s="192" t="str">
        <f t="shared" si="4"/>
        <v/>
      </c>
      <c r="AA53" s="172"/>
      <c r="AB53" s="172"/>
      <c r="AC53" s="172"/>
      <c r="AD53" s="172"/>
    </row>
    <row r="54" spans="1:30" s="45" customFormat="1">
      <c r="A54" s="53">
        <v>86</v>
      </c>
      <c r="B54" s="60" t="s">
        <v>223</v>
      </c>
      <c r="C54" s="60">
        <v>1991</v>
      </c>
      <c r="D54" s="60" t="s">
        <v>224</v>
      </c>
      <c r="E54" s="56" t="s">
        <v>20</v>
      </c>
      <c r="F54" s="69">
        <v>32961</v>
      </c>
      <c r="G54" s="54" t="s">
        <v>227</v>
      </c>
      <c r="H54" s="54" t="s">
        <v>146</v>
      </c>
      <c r="I54" s="54"/>
      <c r="J54" s="54" t="s">
        <v>1034</v>
      </c>
      <c r="K54" s="54" t="s">
        <v>1066</v>
      </c>
      <c r="L54" s="54" t="s">
        <v>234</v>
      </c>
      <c r="M54" s="54" t="s">
        <v>235</v>
      </c>
      <c r="N54" s="54"/>
      <c r="O54" s="54">
        <v>11</v>
      </c>
      <c r="P54" s="54"/>
      <c r="Q54" s="54"/>
      <c r="R54" s="54"/>
      <c r="S54" s="54"/>
      <c r="T54" s="54"/>
      <c r="U54" s="54"/>
      <c r="V54" s="54"/>
      <c r="W54" s="54"/>
      <c r="X54" s="66" t="str">
        <f t="shared" si="3"/>
        <v/>
      </c>
      <c r="Y54" s="71">
        <v>104.8</v>
      </c>
      <c r="Z54" s="192" t="str">
        <f t="shared" si="4"/>
        <v/>
      </c>
      <c r="AA54" s="172"/>
      <c r="AB54" s="172"/>
      <c r="AC54" s="172"/>
      <c r="AD54" s="172"/>
    </row>
    <row r="55" spans="1:30" s="45" customFormat="1">
      <c r="A55" s="53">
        <v>86</v>
      </c>
      <c r="B55" s="60" t="s">
        <v>223</v>
      </c>
      <c r="C55" s="60">
        <v>1991</v>
      </c>
      <c r="D55" s="60" t="s">
        <v>224</v>
      </c>
      <c r="E55" s="56" t="s">
        <v>20</v>
      </c>
      <c r="F55" s="69">
        <v>32857</v>
      </c>
      <c r="G55" s="54" t="s">
        <v>227</v>
      </c>
      <c r="H55" s="54" t="s">
        <v>146</v>
      </c>
      <c r="I55" s="54"/>
      <c r="J55" s="54" t="s">
        <v>1034</v>
      </c>
      <c r="K55" s="54" t="s">
        <v>1066</v>
      </c>
      <c r="L55" s="54" t="s">
        <v>234</v>
      </c>
      <c r="M55" s="54" t="s">
        <v>235</v>
      </c>
      <c r="N55" s="54"/>
      <c r="O55" s="54">
        <v>4</v>
      </c>
      <c r="P55" s="54"/>
      <c r="Q55" s="54"/>
      <c r="R55" s="54"/>
      <c r="S55" s="54"/>
      <c r="T55" s="54"/>
      <c r="U55" s="54"/>
      <c r="V55" s="54"/>
      <c r="W55" s="54"/>
      <c r="X55" s="66" t="str">
        <f t="shared" si="3"/>
        <v/>
      </c>
      <c r="Y55" s="71">
        <v>127</v>
      </c>
      <c r="Z55" s="192" t="str">
        <f t="shared" si="4"/>
        <v/>
      </c>
      <c r="AA55" s="172"/>
      <c r="AB55" s="172"/>
      <c r="AC55" s="172"/>
      <c r="AD55" s="172"/>
    </row>
    <row r="56" spans="1:30" s="45" customFormat="1">
      <c r="A56" s="53">
        <v>86</v>
      </c>
      <c r="B56" s="60" t="s">
        <v>223</v>
      </c>
      <c r="C56" s="60">
        <v>1991</v>
      </c>
      <c r="D56" s="60" t="s">
        <v>224</v>
      </c>
      <c r="E56" s="56" t="s">
        <v>20</v>
      </c>
      <c r="F56" s="69">
        <v>33008</v>
      </c>
      <c r="G56" s="54" t="s">
        <v>227</v>
      </c>
      <c r="H56" s="54" t="s">
        <v>146</v>
      </c>
      <c r="I56" s="54"/>
      <c r="J56" s="54" t="s">
        <v>1034</v>
      </c>
      <c r="K56" s="54" t="s">
        <v>1066</v>
      </c>
      <c r="L56" s="54" t="s">
        <v>234</v>
      </c>
      <c r="M56" s="54" t="s">
        <v>235</v>
      </c>
      <c r="N56" s="54"/>
      <c r="O56" s="54">
        <v>26</v>
      </c>
      <c r="P56" s="54"/>
      <c r="Q56" s="54"/>
      <c r="R56" s="54"/>
      <c r="S56" s="54"/>
      <c r="T56" s="54"/>
      <c r="U56" s="54"/>
      <c r="V56" s="54"/>
      <c r="W56" s="54"/>
      <c r="X56" s="66" t="str">
        <f t="shared" si="3"/>
        <v/>
      </c>
      <c r="Y56" s="71">
        <v>134.30000000000001</v>
      </c>
      <c r="Z56" s="192" t="str">
        <f t="shared" si="4"/>
        <v/>
      </c>
      <c r="AA56" s="172"/>
      <c r="AB56" s="172"/>
      <c r="AC56" s="172"/>
      <c r="AD56" s="172"/>
    </row>
    <row r="57" spans="1:30" s="45" customFormat="1">
      <c r="A57" s="53">
        <v>86</v>
      </c>
      <c r="B57" s="60" t="s">
        <v>223</v>
      </c>
      <c r="C57" s="60">
        <v>1991</v>
      </c>
      <c r="D57" s="60" t="s">
        <v>224</v>
      </c>
      <c r="E57" s="56" t="s">
        <v>20</v>
      </c>
      <c r="F57" s="69">
        <v>33009</v>
      </c>
      <c r="G57" s="54" t="s">
        <v>227</v>
      </c>
      <c r="H57" s="54" t="s">
        <v>146</v>
      </c>
      <c r="I57" s="54"/>
      <c r="J57" s="54" t="s">
        <v>1034</v>
      </c>
      <c r="K57" s="54" t="s">
        <v>1066</v>
      </c>
      <c r="L57" s="54" t="s">
        <v>234</v>
      </c>
      <c r="M57" s="54" t="s">
        <v>235</v>
      </c>
      <c r="N57" s="54"/>
      <c r="O57" s="54">
        <v>29</v>
      </c>
      <c r="P57" s="54"/>
      <c r="Q57" s="54"/>
      <c r="R57" s="54"/>
      <c r="S57" s="54"/>
      <c r="T57" s="54"/>
      <c r="U57" s="54"/>
      <c r="V57" s="54"/>
      <c r="W57" s="54"/>
      <c r="X57" s="66" t="str">
        <f t="shared" si="3"/>
        <v/>
      </c>
      <c r="Y57" s="71">
        <v>140.30000000000001</v>
      </c>
      <c r="Z57" s="192" t="str">
        <f t="shared" si="4"/>
        <v/>
      </c>
      <c r="AA57" s="172"/>
      <c r="AB57" s="172"/>
      <c r="AC57" s="172"/>
      <c r="AD57" s="172"/>
    </row>
    <row r="58" spans="1:30" s="45" customFormat="1">
      <c r="A58" s="53">
        <v>86</v>
      </c>
      <c r="B58" s="60" t="s">
        <v>223</v>
      </c>
      <c r="C58" s="60">
        <v>1991</v>
      </c>
      <c r="D58" s="60" t="s">
        <v>224</v>
      </c>
      <c r="E58" s="56" t="s">
        <v>20</v>
      </c>
      <c r="F58" s="69">
        <v>32961</v>
      </c>
      <c r="G58" s="54" t="s">
        <v>227</v>
      </c>
      <c r="H58" s="54" t="s">
        <v>146</v>
      </c>
      <c r="I58" s="54"/>
      <c r="J58" s="54" t="s">
        <v>1034</v>
      </c>
      <c r="K58" s="54" t="s">
        <v>1066</v>
      </c>
      <c r="L58" s="54" t="s">
        <v>234</v>
      </c>
      <c r="M58" s="54" t="s">
        <v>235</v>
      </c>
      <c r="N58" s="54"/>
      <c r="O58" s="54">
        <v>17</v>
      </c>
      <c r="P58" s="54"/>
      <c r="Q58" s="54"/>
      <c r="R58" s="54"/>
      <c r="S58" s="54"/>
      <c r="T58" s="54"/>
      <c r="U58" s="54"/>
      <c r="V58" s="54"/>
      <c r="W58" s="54"/>
      <c r="X58" s="66" t="str">
        <f t="shared" si="3"/>
        <v/>
      </c>
      <c r="Y58" s="71">
        <v>142</v>
      </c>
      <c r="Z58" s="192" t="str">
        <f t="shared" si="4"/>
        <v/>
      </c>
      <c r="AA58" s="172"/>
      <c r="AB58" s="172"/>
      <c r="AC58" s="172"/>
      <c r="AD58" s="172"/>
    </row>
    <row r="59" spans="1:30" s="45" customFormat="1">
      <c r="A59" s="53">
        <v>86</v>
      </c>
      <c r="B59" s="60" t="s">
        <v>223</v>
      </c>
      <c r="C59" s="60">
        <v>1991</v>
      </c>
      <c r="D59" s="60" t="s">
        <v>224</v>
      </c>
      <c r="E59" s="56" t="s">
        <v>20</v>
      </c>
      <c r="F59" s="69">
        <v>33008</v>
      </c>
      <c r="G59" s="54" t="s">
        <v>227</v>
      </c>
      <c r="H59" s="54" t="s">
        <v>146</v>
      </c>
      <c r="I59" s="54"/>
      <c r="J59" s="54" t="s">
        <v>1034</v>
      </c>
      <c r="K59" s="54" t="s">
        <v>1066</v>
      </c>
      <c r="L59" s="54" t="s">
        <v>234</v>
      </c>
      <c r="M59" s="54" t="s">
        <v>235</v>
      </c>
      <c r="N59" s="54"/>
      <c r="O59" s="54">
        <v>24</v>
      </c>
      <c r="P59" s="54"/>
      <c r="Q59" s="54"/>
      <c r="R59" s="54"/>
      <c r="S59" s="54"/>
      <c r="T59" s="54"/>
      <c r="U59" s="54"/>
      <c r="V59" s="54"/>
      <c r="W59" s="54"/>
      <c r="X59" s="66" t="str">
        <f t="shared" si="3"/>
        <v/>
      </c>
      <c r="Y59" s="71">
        <v>155.19999999999999</v>
      </c>
      <c r="Z59" s="192" t="str">
        <f t="shared" si="4"/>
        <v/>
      </c>
      <c r="AA59" s="172"/>
      <c r="AB59" s="172"/>
      <c r="AC59" s="172"/>
      <c r="AD59" s="172"/>
    </row>
    <row r="60" spans="1:30" s="45" customFormat="1">
      <c r="A60" s="53">
        <v>86</v>
      </c>
      <c r="B60" s="60" t="s">
        <v>223</v>
      </c>
      <c r="C60" s="60">
        <v>1991</v>
      </c>
      <c r="D60" s="60" t="s">
        <v>224</v>
      </c>
      <c r="E60" s="56" t="s">
        <v>20</v>
      </c>
      <c r="F60" s="69">
        <v>32857</v>
      </c>
      <c r="G60" s="54" t="s">
        <v>227</v>
      </c>
      <c r="H60" s="54" t="s">
        <v>146</v>
      </c>
      <c r="I60" s="54"/>
      <c r="J60" s="54" t="s">
        <v>1034</v>
      </c>
      <c r="K60" s="54" t="s">
        <v>1066</v>
      </c>
      <c r="L60" s="54" t="s">
        <v>234</v>
      </c>
      <c r="M60" s="54" t="s">
        <v>235</v>
      </c>
      <c r="N60" s="54"/>
      <c r="O60" s="54">
        <v>7</v>
      </c>
      <c r="P60" s="54"/>
      <c r="Q60" s="54"/>
      <c r="R60" s="54"/>
      <c r="S60" s="54"/>
      <c r="T60" s="54"/>
      <c r="U60" s="54"/>
      <c r="V60" s="54"/>
      <c r="W60" s="54"/>
      <c r="X60" s="66" t="str">
        <f t="shared" si="3"/>
        <v/>
      </c>
      <c r="Y60" s="71">
        <v>159</v>
      </c>
      <c r="Z60" s="192" t="str">
        <f t="shared" si="4"/>
        <v/>
      </c>
      <c r="AA60" s="172"/>
      <c r="AB60" s="172"/>
      <c r="AC60" s="172"/>
      <c r="AD60" s="172"/>
    </row>
    <row r="61" spans="1:30" s="45" customFormat="1">
      <c r="A61" s="53">
        <v>86</v>
      </c>
      <c r="B61" s="60" t="s">
        <v>223</v>
      </c>
      <c r="C61" s="60">
        <v>1991</v>
      </c>
      <c r="D61" s="60" t="s">
        <v>224</v>
      </c>
      <c r="E61" s="56" t="s">
        <v>20</v>
      </c>
      <c r="F61" s="69">
        <v>33093</v>
      </c>
      <c r="G61" s="54" t="s">
        <v>227</v>
      </c>
      <c r="H61" s="54" t="s">
        <v>146</v>
      </c>
      <c r="I61" s="54"/>
      <c r="J61" s="54" t="s">
        <v>1034</v>
      </c>
      <c r="K61" s="54" t="s">
        <v>1066</v>
      </c>
      <c r="L61" s="54" t="s">
        <v>234</v>
      </c>
      <c r="M61" s="54" t="s">
        <v>235</v>
      </c>
      <c r="N61" s="54"/>
      <c r="O61" s="54">
        <v>43</v>
      </c>
      <c r="P61" s="54"/>
      <c r="Q61" s="54"/>
      <c r="R61" s="54"/>
      <c r="S61" s="54"/>
      <c r="T61" s="54"/>
      <c r="U61" s="54"/>
      <c r="V61" s="54"/>
      <c r="W61" s="54"/>
      <c r="X61" s="66" t="str">
        <f t="shared" si="3"/>
        <v/>
      </c>
      <c r="Y61" s="71">
        <v>163.30000000000001</v>
      </c>
      <c r="Z61" s="192" t="str">
        <f t="shared" si="4"/>
        <v/>
      </c>
      <c r="AA61" s="172"/>
      <c r="AB61" s="172"/>
      <c r="AC61" s="172"/>
      <c r="AD61" s="172"/>
    </row>
    <row r="62" spans="1:30" s="45" customFormat="1">
      <c r="A62" s="53">
        <v>86</v>
      </c>
      <c r="B62" s="60" t="s">
        <v>223</v>
      </c>
      <c r="C62" s="60">
        <v>1991</v>
      </c>
      <c r="D62" s="60" t="s">
        <v>224</v>
      </c>
      <c r="E62" s="56" t="s">
        <v>20</v>
      </c>
      <c r="F62" s="69">
        <v>32961</v>
      </c>
      <c r="G62" s="54" t="s">
        <v>227</v>
      </c>
      <c r="H62" s="54" t="s">
        <v>146</v>
      </c>
      <c r="I62" s="54"/>
      <c r="J62" s="54" t="s">
        <v>1034</v>
      </c>
      <c r="K62" s="54" t="s">
        <v>1066</v>
      </c>
      <c r="L62" s="54" t="s">
        <v>234</v>
      </c>
      <c r="M62" s="54" t="s">
        <v>235</v>
      </c>
      <c r="N62" s="54"/>
      <c r="O62" s="54">
        <v>21</v>
      </c>
      <c r="P62" s="54"/>
      <c r="Q62" s="54"/>
      <c r="R62" s="54"/>
      <c r="S62" s="54"/>
      <c r="T62" s="54"/>
      <c r="U62" s="54"/>
      <c r="V62" s="54"/>
      <c r="W62" s="54"/>
      <c r="X62" s="66" t="str">
        <f t="shared" si="3"/>
        <v/>
      </c>
      <c r="Y62" s="71">
        <v>178.2</v>
      </c>
      <c r="Z62" s="192" t="str">
        <f t="shared" si="4"/>
        <v/>
      </c>
      <c r="AA62" s="172"/>
      <c r="AB62" s="172"/>
      <c r="AC62" s="172"/>
      <c r="AD62" s="172"/>
    </row>
    <row r="63" spans="1:30" s="45" customFormat="1">
      <c r="A63" s="53">
        <v>86</v>
      </c>
      <c r="B63" s="60" t="s">
        <v>223</v>
      </c>
      <c r="C63" s="60">
        <v>1991</v>
      </c>
      <c r="D63" s="60" t="s">
        <v>224</v>
      </c>
      <c r="E63" s="56" t="s">
        <v>20</v>
      </c>
      <c r="F63" s="69">
        <v>33093</v>
      </c>
      <c r="G63" s="54" t="s">
        <v>227</v>
      </c>
      <c r="H63" s="54" t="s">
        <v>146</v>
      </c>
      <c r="I63" s="54"/>
      <c r="J63" s="54" t="s">
        <v>1034</v>
      </c>
      <c r="K63" s="54" t="s">
        <v>1066</v>
      </c>
      <c r="L63" s="54" t="s">
        <v>234</v>
      </c>
      <c r="M63" s="54" t="s">
        <v>235</v>
      </c>
      <c r="N63" s="54"/>
      <c r="O63" s="54">
        <v>39</v>
      </c>
      <c r="P63" s="54"/>
      <c r="Q63" s="54"/>
      <c r="R63" s="54"/>
      <c r="S63" s="54"/>
      <c r="T63" s="54"/>
      <c r="U63" s="54"/>
      <c r="V63" s="54"/>
      <c r="W63" s="54"/>
      <c r="X63" s="66" t="str">
        <f t="shared" si="3"/>
        <v/>
      </c>
      <c r="Y63" s="71">
        <v>208.1</v>
      </c>
      <c r="Z63" s="192" t="str">
        <f t="shared" si="4"/>
        <v/>
      </c>
      <c r="AA63" s="172"/>
      <c r="AB63" s="172"/>
      <c r="AC63" s="172"/>
      <c r="AD63" s="172"/>
    </row>
    <row r="64" spans="1:30" s="45" customFormat="1">
      <c r="A64" s="53">
        <v>86</v>
      </c>
      <c r="B64" s="60" t="s">
        <v>223</v>
      </c>
      <c r="C64" s="60">
        <v>1991</v>
      </c>
      <c r="D64" s="60" t="s">
        <v>224</v>
      </c>
      <c r="E64" s="56" t="s">
        <v>20</v>
      </c>
      <c r="F64" s="69">
        <v>33093</v>
      </c>
      <c r="G64" s="54" t="s">
        <v>227</v>
      </c>
      <c r="H64" s="54" t="s">
        <v>146</v>
      </c>
      <c r="I64" s="54"/>
      <c r="J64" s="54" t="s">
        <v>1034</v>
      </c>
      <c r="K64" s="54" t="s">
        <v>1066</v>
      </c>
      <c r="L64" s="54" t="s">
        <v>234</v>
      </c>
      <c r="M64" s="54" t="s">
        <v>235</v>
      </c>
      <c r="N64" s="54"/>
      <c r="O64" s="54">
        <v>35</v>
      </c>
      <c r="P64" s="54"/>
      <c r="Q64" s="54"/>
      <c r="R64" s="54"/>
      <c r="S64" s="54"/>
      <c r="T64" s="54"/>
      <c r="U64" s="54"/>
      <c r="V64" s="54"/>
      <c r="W64" s="54"/>
      <c r="X64" s="66" t="str">
        <f t="shared" si="3"/>
        <v/>
      </c>
      <c r="Y64" s="71">
        <v>211.9</v>
      </c>
      <c r="Z64" s="192" t="str">
        <f t="shared" si="4"/>
        <v/>
      </c>
      <c r="AA64" s="172"/>
      <c r="AB64" s="172"/>
      <c r="AC64" s="172"/>
      <c r="AD64" s="172"/>
    </row>
    <row r="65" spans="1:30" s="45" customFormat="1">
      <c r="A65" s="53">
        <v>172</v>
      </c>
      <c r="B65" s="54" t="s">
        <v>585</v>
      </c>
      <c r="C65" s="54">
        <v>2010</v>
      </c>
      <c r="D65" s="54" t="s">
        <v>586</v>
      </c>
      <c r="E65" s="56" t="s">
        <v>589</v>
      </c>
      <c r="F65" s="57">
        <v>40222</v>
      </c>
      <c r="G65" s="54" t="s">
        <v>595</v>
      </c>
      <c r="H65" s="54" t="s">
        <v>146</v>
      </c>
      <c r="I65" s="54"/>
      <c r="J65" s="66" t="s">
        <v>1034</v>
      </c>
      <c r="K65" s="54" t="s">
        <v>1066</v>
      </c>
      <c r="L65" s="54" t="s">
        <v>602</v>
      </c>
      <c r="M65" s="88" t="s">
        <v>603</v>
      </c>
      <c r="N65" s="88" t="s">
        <v>604</v>
      </c>
      <c r="O65" s="54"/>
      <c r="P65" s="60"/>
      <c r="Q65" s="60"/>
      <c r="R65" s="54"/>
      <c r="S65" s="54"/>
      <c r="T65" s="54"/>
      <c r="U65" s="60">
        <v>0.94799999999999995</v>
      </c>
      <c r="V65" s="167"/>
      <c r="W65" s="167"/>
      <c r="X65" s="66">
        <f t="shared" si="3"/>
        <v>0.94799999999999995</v>
      </c>
      <c r="Y65" s="71">
        <v>64.31</v>
      </c>
      <c r="Z65" s="192" t="str">
        <f t="shared" si="4"/>
        <v>F</v>
      </c>
      <c r="AA65" s="172"/>
      <c r="AB65" s="172"/>
      <c r="AC65" s="172"/>
      <c r="AD65" s="172"/>
    </row>
    <row r="66" spans="1:30" s="45" customFormat="1">
      <c r="A66" s="53">
        <v>174</v>
      </c>
      <c r="B66" s="54" t="s">
        <v>697</v>
      </c>
      <c r="C66" s="54">
        <v>2009</v>
      </c>
      <c r="D66" s="78" t="s">
        <v>698</v>
      </c>
      <c r="E66" s="56" t="s">
        <v>20</v>
      </c>
      <c r="F66" s="57" t="s">
        <v>701</v>
      </c>
      <c r="G66" s="54" t="s">
        <v>718</v>
      </c>
      <c r="H66" s="54" t="s">
        <v>146</v>
      </c>
      <c r="I66" s="54"/>
      <c r="J66" s="66" t="s">
        <v>1034</v>
      </c>
      <c r="K66" s="54" t="s">
        <v>1066</v>
      </c>
      <c r="L66" s="54" t="s">
        <v>234</v>
      </c>
      <c r="M66" s="59"/>
      <c r="N66" s="59"/>
      <c r="O66" s="54" t="s">
        <v>234</v>
      </c>
      <c r="P66" s="60"/>
      <c r="Q66" s="60"/>
      <c r="R66" s="54"/>
      <c r="S66" s="54"/>
      <c r="T66" s="54"/>
      <c r="U66" s="61">
        <v>0.89900000000000002</v>
      </c>
      <c r="V66" s="61"/>
      <c r="W66" s="61"/>
      <c r="X66" s="66">
        <f t="shared" ref="X66:X95" si="5">IF(R66&lt;&gt;0,IF(R66&gt;1,R66/100,R66),IF(U66&lt;&gt;0,IF(U66&gt;1,U66/100,U66),""))</f>
        <v>0.89900000000000002</v>
      </c>
      <c r="Y66" s="71">
        <v>104.4</v>
      </c>
      <c r="Z66" s="192" t="str">
        <f t="shared" si="4"/>
        <v>S</v>
      </c>
      <c r="AA66" s="172"/>
      <c r="AB66" s="172"/>
      <c r="AC66" s="172"/>
      <c r="AD66" s="172"/>
    </row>
    <row r="67" spans="1:30" s="45" customFormat="1">
      <c r="A67" s="53">
        <v>174</v>
      </c>
      <c r="B67" s="54" t="s">
        <v>697</v>
      </c>
      <c r="C67" s="54">
        <v>2009</v>
      </c>
      <c r="D67" s="78" t="s">
        <v>698</v>
      </c>
      <c r="E67" s="56" t="s">
        <v>20</v>
      </c>
      <c r="F67" s="57" t="s">
        <v>701</v>
      </c>
      <c r="G67" s="54" t="s">
        <v>718</v>
      </c>
      <c r="H67" s="54" t="s">
        <v>146</v>
      </c>
      <c r="I67" s="54"/>
      <c r="J67" s="66" t="s">
        <v>1034</v>
      </c>
      <c r="K67" s="54" t="s">
        <v>1043</v>
      </c>
      <c r="L67" s="54" t="s">
        <v>735</v>
      </c>
      <c r="M67" s="59"/>
      <c r="N67" s="59"/>
      <c r="O67" s="54" t="s">
        <v>166</v>
      </c>
      <c r="P67" s="60"/>
      <c r="Q67" s="60"/>
      <c r="R67" s="54"/>
      <c r="S67" s="54"/>
      <c r="T67" s="54"/>
      <c r="U67" s="61">
        <v>0.90900000000000003</v>
      </c>
      <c r="V67" s="61"/>
      <c r="W67" s="61"/>
      <c r="X67" s="66">
        <f t="shared" si="5"/>
        <v>0.90900000000000003</v>
      </c>
      <c r="Y67" s="71">
        <v>93.2</v>
      </c>
      <c r="Z67" s="192" t="str">
        <f t="shared" si="4"/>
        <v>F</v>
      </c>
      <c r="AA67" s="172"/>
      <c r="AB67" s="172"/>
      <c r="AC67" s="172"/>
      <c r="AD67" s="172"/>
    </row>
    <row r="68" spans="1:30" s="45" customFormat="1">
      <c r="A68" s="53">
        <v>173</v>
      </c>
      <c r="B68" s="54" t="s">
        <v>585</v>
      </c>
      <c r="C68" s="54">
        <v>2011</v>
      </c>
      <c r="D68" s="78" t="s">
        <v>636</v>
      </c>
      <c r="E68" s="56" t="s">
        <v>638</v>
      </c>
      <c r="F68" s="57" t="s">
        <v>669</v>
      </c>
      <c r="G68" s="54" t="s">
        <v>670</v>
      </c>
      <c r="H68" s="54" t="s">
        <v>146</v>
      </c>
      <c r="I68" s="54"/>
      <c r="J68" s="66" t="s">
        <v>1034</v>
      </c>
      <c r="K68" s="54" t="s">
        <v>1043</v>
      </c>
      <c r="L68" s="54" t="s">
        <v>671</v>
      </c>
      <c r="M68" s="59"/>
      <c r="N68" s="59"/>
      <c r="O68" s="54" t="s">
        <v>672</v>
      </c>
      <c r="P68" s="60"/>
      <c r="Q68" s="60"/>
      <c r="R68" s="54"/>
      <c r="S68" s="54"/>
      <c r="T68" s="54"/>
      <c r="U68" s="61">
        <v>0.93300000000000005</v>
      </c>
      <c r="V68" s="61"/>
      <c r="W68" s="61"/>
      <c r="X68" s="66">
        <f t="shared" si="5"/>
        <v>0.93300000000000005</v>
      </c>
      <c r="Y68" s="71">
        <v>76</v>
      </c>
      <c r="Z68" s="192" t="str">
        <f t="shared" si="4"/>
        <v>F</v>
      </c>
      <c r="AA68" s="172"/>
      <c r="AB68" s="172"/>
      <c r="AC68" s="172"/>
      <c r="AD68" s="172"/>
    </row>
    <row r="69" spans="1:30" s="45" customFormat="1">
      <c r="A69" s="53">
        <v>172</v>
      </c>
      <c r="B69" s="54" t="s">
        <v>585</v>
      </c>
      <c r="C69" s="54">
        <v>2010</v>
      </c>
      <c r="D69" s="54" t="s">
        <v>586</v>
      </c>
      <c r="E69" s="56" t="s">
        <v>589</v>
      </c>
      <c r="F69" s="57">
        <v>40223</v>
      </c>
      <c r="G69" s="54" t="s">
        <v>595</v>
      </c>
      <c r="H69" s="54" t="s">
        <v>146</v>
      </c>
      <c r="I69" s="54"/>
      <c r="J69" s="66" t="s">
        <v>1034</v>
      </c>
      <c r="K69" s="54" t="s">
        <v>1043</v>
      </c>
      <c r="L69" s="54" t="s">
        <v>605</v>
      </c>
      <c r="M69" s="88" t="s">
        <v>606</v>
      </c>
      <c r="N69" s="88" t="s">
        <v>607</v>
      </c>
      <c r="O69" s="54"/>
      <c r="P69" s="60"/>
      <c r="Q69" s="60"/>
      <c r="R69" s="54"/>
      <c r="S69" s="54"/>
      <c r="T69" s="54"/>
      <c r="U69" s="60">
        <v>0.95199999999999996</v>
      </c>
      <c r="V69" s="167"/>
      <c r="W69" s="167"/>
      <c r="X69" s="66">
        <f t="shared" si="5"/>
        <v>0.95199999999999996</v>
      </c>
      <c r="Y69" s="71">
        <v>56.44</v>
      </c>
      <c r="Z69" s="192" t="str">
        <f t="shared" si="4"/>
        <v>F</v>
      </c>
      <c r="AA69" s="172"/>
      <c r="AB69" s="172"/>
      <c r="AC69" s="172"/>
      <c r="AD69" s="172"/>
    </row>
    <row r="70" spans="1:30" s="45" customFormat="1">
      <c r="A70" s="53">
        <v>63</v>
      </c>
      <c r="B70" s="60" t="s">
        <v>168</v>
      </c>
      <c r="C70" s="60">
        <v>1989</v>
      </c>
      <c r="D70" s="60" t="s">
        <v>169</v>
      </c>
      <c r="E70" s="56" t="s">
        <v>172</v>
      </c>
      <c r="F70" s="69">
        <v>31758</v>
      </c>
      <c r="G70" s="54" t="s">
        <v>173</v>
      </c>
      <c r="H70" s="54" t="s">
        <v>146</v>
      </c>
      <c r="I70" s="66"/>
      <c r="J70" s="66" t="s">
        <v>1034</v>
      </c>
      <c r="K70" s="78" t="s">
        <v>1039</v>
      </c>
      <c r="L70" s="54" t="s">
        <v>174</v>
      </c>
      <c r="M70" s="54"/>
      <c r="N70" s="54"/>
      <c r="O70" s="54" t="s">
        <v>175</v>
      </c>
      <c r="P70" s="54"/>
      <c r="Q70" s="54"/>
      <c r="R70" s="54"/>
      <c r="S70" s="54"/>
      <c r="T70" s="54"/>
      <c r="U70" s="54"/>
      <c r="V70" s="54"/>
      <c r="W70" s="54"/>
      <c r="X70" s="66" t="str">
        <f t="shared" si="5"/>
        <v/>
      </c>
      <c r="Y70" s="71">
        <v>74</v>
      </c>
      <c r="Z70" s="192" t="str">
        <f t="shared" ref="Z70:Z95" si="6">IF(X70&lt;&gt;"",IF(X70&lt;0.9,"S","F"),"")</f>
        <v/>
      </c>
      <c r="AA70" s="172"/>
      <c r="AB70" s="172"/>
      <c r="AC70" s="172"/>
      <c r="AD70" s="172"/>
    </row>
    <row r="71" spans="1:30" s="45" customFormat="1">
      <c r="A71" s="53">
        <v>173</v>
      </c>
      <c r="B71" s="54" t="s">
        <v>585</v>
      </c>
      <c r="C71" s="54">
        <v>2011</v>
      </c>
      <c r="D71" s="78" t="s">
        <v>636</v>
      </c>
      <c r="E71" s="56" t="s">
        <v>638</v>
      </c>
      <c r="F71" s="57" t="s">
        <v>665</v>
      </c>
      <c r="G71" s="54" t="s">
        <v>595</v>
      </c>
      <c r="H71" s="54" t="s">
        <v>146</v>
      </c>
      <c r="I71" s="54"/>
      <c r="J71" s="66" t="s">
        <v>1034</v>
      </c>
      <c r="K71" s="54" t="s">
        <v>1079</v>
      </c>
      <c r="L71" s="54" t="s">
        <v>667</v>
      </c>
      <c r="M71" s="59"/>
      <c r="N71" s="59"/>
      <c r="O71" s="54" t="s">
        <v>668</v>
      </c>
      <c r="P71" s="60"/>
      <c r="Q71" s="60"/>
      <c r="R71" s="54"/>
      <c r="S71" s="54"/>
      <c r="T71" s="54"/>
      <c r="U71" s="61">
        <v>0.90300000000000002</v>
      </c>
      <c r="V71" s="61"/>
      <c r="W71" s="61"/>
      <c r="X71" s="66">
        <f t="shared" si="5"/>
        <v>0.90300000000000002</v>
      </c>
      <c r="Y71" s="71">
        <v>109</v>
      </c>
      <c r="Z71" s="192" t="str">
        <f t="shared" si="6"/>
        <v>F</v>
      </c>
      <c r="AA71" s="172"/>
      <c r="AB71" s="172"/>
      <c r="AC71" s="172"/>
      <c r="AD71" s="172"/>
    </row>
    <row r="72" spans="1:30" s="45" customFormat="1">
      <c r="A72" s="53">
        <v>63</v>
      </c>
      <c r="B72" s="60" t="s">
        <v>168</v>
      </c>
      <c r="C72" s="60">
        <v>1989</v>
      </c>
      <c r="D72" s="60" t="s">
        <v>169</v>
      </c>
      <c r="E72" s="90" t="s">
        <v>172</v>
      </c>
      <c r="F72" s="77">
        <v>31749</v>
      </c>
      <c r="G72" s="54" t="s">
        <v>183</v>
      </c>
      <c r="H72" s="78" t="s">
        <v>146</v>
      </c>
      <c r="I72" s="66"/>
      <c r="J72" s="66" t="s">
        <v>1034</v>
      </c>
      <c r="K72" s="78" t="s">
        <v>1038</v>
      </c>
      <c r="L72" s="79" t="s">
        <v>184</v>
      </c>
      <c r="M72" s="79"/>
      <c r="N72" s="79"/>
      <c r="O72" s="79" t="s">
        <v>148</v>
      </c>
      <c r="P72" s="79"/>
      <c r="Q72" s="79"/>
      <c r="R72" s="54"/>
      <c r="S72" s="54"/>
      <c r="T72" s="54"/>
      <c r="U72" s="79"/>
      <c r="V72" s="165"/>
      <c r="W72" s="165"/>
      <c r="X72" s="66" t="str">
        <f t="shared" si="5"/>
        <v/>
      </c>
      <c r="Y72" s="82">
        <v>34</v>
      </c>
      <c r="Z72" s="192" t="str">
        <f t="shared" si="6"/>
        <v/>
      </c>
      <c r="AA72" s="172"/>
      <c r="AB72" s="172"/>
      <c r="AC72" s="172"/>
      <c r="AD72" s="172"/>
    </row>
    <row r="73" spans="1:30" s="45" customFormat="1">
      <c r="A73" s="53">
        <v>173</v>
      </c>
      <c r="B73" s="54" t="s">
        <v>585</v>
      </c>
      <c r="C73" s="54">
        <v>2011</v>
      </c>
      <c r="D73" s="78" t="s">
        <v>636</v>
      </c>
      <c r="E73" s="56" t="s">
        <v>638</v>
      </c>
      <c r="F73" s="57" t="s">
        <v>665</v>
      </c>
      <c r="G73" s="54" t="s">
        <v>595</v>
      </c>
      <c r="H73" s="54" t="s">
        <v>146</v>
      </c>
      <c r="I73" s="54"/>
      <c r="J73" s="66" t="s">
        <v>1034</v>
      </c>
      <c r="K73" s="54" t="s">
        <v>1038</v>
      </c>
      <c r="L73" s="54" t="s">
        <v>663</v>
      </c>
      <c r="M73" s="59"/>
      <c r="N73" s="59"/>
      <c r="O73" s="54" t="s">
        <v>666</v>
      </c>
      <c r="P73" s="60"/>
      <c r="Q73" s="60"/>
      <c r="R73" s="54"/>
      <c r="S73" s="54"/>
      <c r="T73" s="54"/>
      <c r="U73" s="61">
        <v>0.93799999999999994</v>
      </c>
      <c r="V73" s="61"/>
      <c r="W73" s="61"/>
      <c r="X73" s="66">
        <f t="shared" si="5"/>
        <v>0.93799999999999994</v>
      </c>
      <c r="Y73" s="71">
        <v>70</v>
      </c>
      <c r="Z73" s="192" t="str">
        <f t="shared" si="6"/>
        <v>F</v>
      </c>
      <c r="AA73" s="172"/>
      <c r="AB73" s="172"/>
      <c r="AC73" s="172"/>
      <c r="AD73" s="172"/>
    </row>
    <row r="74" spans="1:30" s="45" customFormat="1">
      <c r="A74" s="53">
        <v>172</v>
      </c>
      <c r="B74" s="54" t="s">
        <v>585</v>
      </c>
      <c r="C74" s="54">
        <v>2010</v>
      </c>
      <c r="D74" s="54" t="s">
        <v>586</v>
      </c>
      <c r="E74" s="56" t="s">
        <v>589</v>
      </c>
      <c r="F74" s="57">
        <v>40221</v>
      </c>
      <c r="G74" s="54" t="s">
        <v>595</v>
      </c>
      <c r="H74" s="54" t="s">
        <v>146</v>
      </c>
      <c r="I74" s="54"/>
      <c r="J74" s="66" t="s">
        <v>1034</v>
      </c>
      <c r="K74" s="54" t="s">
        <v>1038</v>
      </c>
      <c r="L74" s="54" t="s">
        <v>599</v>
      </c>
      <c r="M74" s="88" t="s">
        <v>600</v>
      </c>
      <c r="N74" s="88" t="s">
        <v>601</v>
      </c>
      <c r="O74" s="54"/>
      <c r="P74" s="60"/>
      <c r="Q74" s="60"/>
      <c r="R74" s="54"/>
      <c r="S74" s="54"/>
      <c r="T74" s="54"/>
      <c r="U74" s="60">
        <v>0.93899999999999995</v>
      </c>
      <c r="V74" s="167"/>
      <c r="W74" s="167"/>
      <c r="X74" s="66">
        <f t="shared" si="5"/>
        <v>0.93899999999999995</v>
      </c>
      <c r="Y74" s="71">
        <v>71.05</v>
      </c>
      <c r="Z74" s="192" t="str">
        <f t="shared" si="6"/>
        <v>F</v>
      </c>
      <c r="AA74" s="172"/>
      <c r="AB74" s="172"/>
      <c r="AC74" s="172"/>
      <c r="AD74" s="172"/>
    </row>
    <row r="75" spans="1:30" s="45" customFormat="1">
      <c r="A75" s="53">
        <v>172</v>
      </c>
      <c r="B75" s="54" t="s">
        <v>585</v>
      </c>
      <c r="C75" s="54">
        <v>2010</v>
      </c>
      <c r="D75" s="54" t="s">
        <v>586</v>
      </c>
      <c r="E75" s="56" t="s">
        <v>589</v>
      </c>
      <c r="F75" s="57">
        <v>40220</v>
      </c>
      <c r="G75" s="54" t="s">
        <v>595</v>
      </c>
      <c r="H75" s="54" t="s">
        <v>146</v>
      </c>
      <c r="I75" s="54"/>
      <c r="J75" s="66" t="s">
        <v>1034</v>
      </c>
      <c r="K75" s="54" t="s">
        <v>1038</v>
      </c>
      <c r="L75" s="54" t="s">
        <v>596</v>
      </c>
      <c r="M75" s="88" t="s">
        <v>597</v>
      </c>
      <c r="N75" s="88" t="s">
        <v>598</v>
      </c>
      <c r="O75" s="54"/>
      <c r="P75" s="60"/>
      <c r="Q75" s="60"/>
      <c r="R75" s="54"/>
      <c r="S75" s="54"/>
      <c r="T75" s="54"/>
      <c r="U75" s="60">
        <v>0.94399999999999995</v>
      </c>
      <c r="V75" s="167"/>
      <c r="W75" s="167"/>
      <c r="X75" s="66">
        <f t="shared" si="5"/>
        <v>0.94399999999999995</v>
      </c>
      <c r="Y75" s="71">
        <v>65.56</v>
      </c>
      <c r="Z75" s="192" t="str">
        <f t="shared" si="6"/>
        <v>F</v>
      </c>
      <c r="AA75" s="172"/>
      <c r="AB75" s="172"/>
      <c r="AC75" s="172"/>
      <c r="AD75" s="172"/>
    </row>
    <row r="76" spans="1:30" s="45" customFormat="1">
      <c r="A76" s="53">
        <v>173</v>
      </c>
      <c r="B76" s="54" t="s">
        <v>585</v>
      </c>
      <c r="C76" s="54">
        <v>2011</v>
      </c>
      <c r="D76" s="78" t="s">
        <v>636</v>
      </c>
      <c r="E76" s="56" t="s">
        <v>638</v>
      </c>
      <c r="F76" s="57" t="s">
        <v>673</v>
      </c>
      <c r="G76" s="54" t="s">
        <v>674</v>
      </c>
      <c r="H76" s="54" t="s">
        <v>146</v>
      </c>
      <c r="I76" s="54"/>
      <c r="J76" s="66" t="s">
        <v>1034</v>
      </c>
      <c r="K76" s="54" t="s">
        <v>1038</v>
      </c>
      <c r="L76" s="54" t="s">
        <v>675</v>
      </c>
      <c r="M76" s="59"/>
      <c r="N76" s="59"/>
      <c r="O76" s="54" t="s">
        <v>676</v>
      </c>
      <c r="P76" s="60"/>
      <c r="Q76" s="60"/>
      <c r="R76" s="54"/>
      <c r="S76" s="54"/>
      <c r="T76" s="54"/>
      <c r="U76" s="61">
        <v>0.94699999999999995</v>
      </c>
      <c r="V76" s="61"/>
      <c r="W76" s="61"/>
      <c r="X76" s="66">
        <f t="shared" si="5"/>
        <v>0.94699999999999995</v>
      </c>
      <c r="Y76" s="71">
        <v>61</v>
      </c>
      <c r="Z76" s="192" t="str">
        <f t="shared" si="6"/>
        <v>F</v>
      </c>
      <c r="AA76" s="172"/>
      <c r="AB76" s="172"/>
      <c r="AC76" s="172"/>
      <c r="AD76" s="172"/>
    </row>
    <row r="77" spans="1:30" s="45" customFormat="1">
      <c r="A77" s="53">
        <v>173</v>
      </c>
      <c r="B77" s="54" t="s">
        <v>585</v>
      </c>
      <c r="C77" s="54">
        <v>2011</v>
      </c>
      <c r="D77" s="78" t="s">
        <v>636</v>
      </c>
      <c r="E77" s="56" t="s">
        <v>638</v>
      </c>
      <c r="F77" s="57" t="s">
        <v>662</v>
      </c>
      <c r="G77" s="54" t="s">
        <v>595</v>
      </c>
      <c r="H77" s="54" t="s">
        <v>146</v>
      </c>
      <c r="I77" s="54"/>
      <c r="J77" s="66" t="s">
        <v>1034</v>
      </c>
      <c r="K77" s="54" t="s">
        <v>1038</v>
      </c>
      <c r="L77" s="54" t="s">
        <v>663</v>
      </c>
      <c r="M77" s="59"/>
      <c r="N77" s="59"/>
      <c r="O77" s="54" t="s">
        <v>664</v>
      </c>
      <c r="P77" s="60"/>
      <c r="Q77" s="60"/>
      <c r="R77" s="54"/>
      <c r="S77" s="54"/>
      <c r="T77" s="54"/>
      <c r="U77" s="61">
        <v>0.95</v>
      </c>
      <c r="V77" s="61"/>
      <c r="W77" s="61"/>
      <c r="X77" s="66">
        <f t="shared" si="5"/>
        <v>0.95</v>
      </c>
      <c r="Y77" s="71">
        <v>58</v>
      </c>
      <c r="Z77" s="192" t="str">
        <f t="shared" si="6"/>
        <v>F</v>
      </c>
      <c r="AA77" s="172"/>
      <c r="AB77" s="172"/>
      <c r="AC77" s="172"/>
      <c r="AD77" s="172"/>
    </row>
    <row r="78" spans="1:30" s="45" customFormat="1">
      <c r="A78" s="53">
        <v>174</v>
      </c>
      <c r="B78" s="54" t="s">
        <v>697</v>
      </c>
      <c r="C78" s="54">
        <v>2009</v>
      </c>
      <c r="D78" s="78" t="s">
        <v>698</v>
      </c>
      <c r="E78" s="56" t="s">
        <v>20</v>
      </c>
      <c r="F78" s="57" t="s">
        <v>701</v>
      </c>
      <c r="G78" s="54"/>
      <c r="H78" s="54"/>
      <c r="I78" s="54"/>
      <c r="J78" s="66" t="s">
        <v>1034</v>
      </c>
      <c r="K78" s="54" t="s">
        <v>1098</v>
      </c>
      <c r="L78" s="54" t="s">
        <v>722</v>
      </c>
      <c r="M78" s="59"/>
      <c r="N78" s="59"/>
      <c r="O78" s="54" t="s">
        <v>723</v>
      </c>
      <c r="P78" s="60"/>
      <c r="Q78" s="60"/>
      <c r="R78" s="54"/>
      <c r="S78" s="54"/>
      <c r="T78" s="54"/>
      <c r="U78" s="61">
        <v>0.90500000000000003</v>
      </c>
      <c r="V78" s="61"/>
      <c r="W78" s="61"/>
      <c r="X78" s="66">
        <f t="shared" si="5"/>
        <v>0.90500000000000003</v>
      </c>
      <c r="Y78" s="71">
        <v>96.4</v>
      </c>
      <c r="Z78" s="192" t="str">
        <f t="shared" si="6"/>
        <v>F</v>
      </c>
      <c r="AA78" s="172"/>
      <c r="AB78" s="172"/>
      <c r="AC78" s="172"/>
      <c r="AD78" s="172"/>
    </row>
    <row r="79" spans="1:30" s="45" customFormat="1">
      <c r="A79" s="53">
        <v>174</v>
      </c>
      <c r="B79" s="54" t="s">
        <v>697</v>
      </c>
      <c r="C79" s="54">
        <v>2009</v>
      </c>
      <c r="D79" s="78" t="s">
        <v>698</v>
      </c>
      <c r="E79" s="56" t="s">
        <v>20</v>
      </c>
      <c r="F79" s="57" t="s">
        <v>701</v>
      </c>
      <c r="G79" s="54" t="s">
        <v>745</v>
      </c>
      <c r="H79" s="54" t="s">
        <v>746</v>
      </c>
      <c r="I79" s="54"/>
      <c r="J79" s="66" t="s">
        <v>1034</v>
      </c>
      <c r="K79" s="54" t="s">
        <v>1089</v>
      </c>
      <c r="L79" s="54" t="s">
        <v>753</v>
      </c>
      <c r="M79" s="59"/>
      <c r="N79" s="59"/>
      <c r="O79" s="54" t="s">
        <v>754</v>
      </c>
      <c r="P79" s="60"/>
      <c r="Q79" s="60"/>
      <c r="R79" s="54"/>
      <c r="S79" s="54"/>
      <c r="T79" s="54"/>
      <c r="U79" s="61">
        <v>0.93500000000000005</v>
      </c>
      <c r="V79" s="61"/>
      <c r="W79" s="61"/>
      <c r="X79" s="66">
        <f t="shared" si="5"/>
        <v>0.93500000000000005</v>
      </c>
      <c r="Y79" s="71">
        <v>68</v>
      </c>
      <c r="Z79" s="192" t="str">
        <f t="shared" si="6"/>
        <v>F</v>
      </c>
      <c r="AA79" s="172"/>
      <c r="AB79" s="172"/>
      <c r="AC79" s="172"/>
      <c r="AD79" s="172"/>
    </row>
    <row r="80" spans="1:30" s="45" customFormat="1">
      <c r="A80" s="53">
        <v>203</v>
      </c>
      <c r="B80" s="73" t="s">
        <v>940</v>
      </c>
      <c r="C80" s="54">
        <v>2011</v>
      </c>
      <c r="D80" s="73" t="s">
        <v>941</v>
      </c>
      <c r="E80" s="56" t="s">
        <v>20</v>
      </c>
      <c r="F80" s="54">
        <v>2009</v>
      </c>
      <c r="G80" s="54" t="s">
        <v>326</v>
      </c>
      <c r="H80" s="54"/>
      <c r="I80" s="54"/>
      <c r="J80" s="66" t="s">
        <v>1034</v>
      </c>
      <c r="K80" s="54" t="s">
        <v>1101</v>
      </c>
      <c r="L80" s="54" t="s">
        <v>945</v>
      </c>
      <c r="M80" s="54"/>
      <c r="N80" s="54"/>
      <c r="O80" s="54">
        <v>49</v>
      </c>
      <c r="P80" s="54"/>
      <c r="Q80" s="54"/>
      <c r="R80" s="54"/>
      <c r="S80" s="54"/>
      <c r="T80" s="54"/>
      <c r="U80" s="54">
        <v>0.92</v>
      </c>
      <c r="V80" s="54"/>
      <c r="W80" s="54"/>
      <c r="X80" s="66">
        <f t="shared" si="5"/>
        <v>0.92</v>
      </c>
      <c r="Y80" s="71">
        <v>89.4</v>
      </c>
      <c r="Z80" s="192" t="str">
        <f t="shared" si="6"/>
        <v>F</v>
      </c>
      <c r="AA80" s="172"/>
      <c r="AB80" s="172"/>
      <c r="AC80" s="172"/>
      <c r="AD80" s="172"/>
    </row>
    <row r="81" spans="1:30" s="45" customFormat="1">
      <c r="A81" s="53">
        <v>203</v>
      </c>
      <c r="B81" s="73" t="s">
        <v>940</v>
      </c>
      <c r="C81" s="54">
        <v>2011</v>
      </c>
      <c r="D81" s="73" t="s">
        <v>941</v>
      </c>
      <c r="E81" s="56" t="s">
        <v>20</v>
      </c>
      <c r="F81" s="54">
        <v>2009</v>
      </c>
      <c r="G81" s="54" t="s">
        <v>326</v>
      </c>
      <c r="H81" s="54"/>
      <c r="I81" s="54"/>
      <c r="J81" s="66" t="s">
        <v>1034</v>
      </c>
      <c r="K81" s="54" t="s">
        <v>1101</v>
      </c>
      <c r="L81" s="54" t="s">
        <v>946</v>
      </c>
      <c r="M81" s="54"/>
      <c r="N81" s="54"/>
      <c r="O81" s="54">
        <v>53</v>
      </c>
      <c r="P81" s="54"/>
      <c r="Q81" s="54"/>
      <c r="R81" s="54"/>
      <c r="S81" s="54"/>
      <c r="T81" s="54"/>
      <c r="U81" s="54">
        <v>0.93</v>
      </c>
      <c r="V81" s="54"/>
      <c r="W81" s="54"/>
      <c r="X81" s="66">
        <f t="shared" si="5"/>
        <v>0.93</v>
      </c>
      <c r="Y81" s="71">
        <v>88.2</v>
      </c>
      <c r="Z81" s="192" t="str">
        <f t="shared" si="6"/>
        <v>F</v>
      </c>
      <c r="AA81" s="172"/>
      <c r="AB81" s="172"/>
      <c r="AC81" s="172"/>
      <c r="AD81" s="172"/>
    </row>
    <row r="82" spans="1:30" s="45" customFormat="1">
      <c r="A82" s="53">
        <v>197</v>
      </c>
      <c r="B82" s="73" t="s">
        <v>875</v>
      </c>
      <c r="C82" s="54">
        <v>2007</v>
      </c>
      <c r="D82" s="73" t="s">
        <v>928</v>
      </c>
      <c r="E82" s="56" t="s">
        <v>20</v>
      </c>
      <c r="F82" s="54">
        <v>2003</v>
      </c>
      <c r="G82" s="54" t="s">
        <v>326</v>
      </c>
      <c r="H82" s="54" t="s">
        <v>159</v>
      </c>
      <c r="I82" s="54"/>
      <c r="J82" s="66" t="s">
        <v>1034</v>
      </c>
      <c r="K82" s="54" t="s">
        <v>1101</v>
      </c>
      <c r="L82" s="54" t="s">
        <v>366</v>
      </c>
      <c r="M82" s="54"/>
      <c r="N82" s="54"/>
      <c r="O82" s="54" t="s">
        <v>933</v>
      </c>
      <c r="P82" s="54">
        <v>0.96</v>
      </c>
      <c r="Q82" s="66"/>
      <c r="R82" s="66">
        <f>+P82</f>
        <v>0.96</v>
      </c>
      <c r="S82" s="66"/>
      <c r="T82" s="66"/>
      <c r="U82" s="66"/>
      <c r="V82" s="54">
        <v>22.6</v>
      </c>
      <c r="W82" s="66"/>
      <c r="X82" s="66">
        <f t="shared" si="5"/>
        <v>0.96</v>
      </c>
      <c r="Y82" s="206">
        <f>+V82</f>
        <v>22.6</v>
      </c>
      <c r="Z82" s="192" t="str">
        <f t="shared" si="6"/>
        <v>F</v>
      </c>
      <c r="AA82" s="172"/>
      <c r="AB82" s="172"/>
      <c r="AC82" s="172"/>
      <c r="AD82" s="172"/>
    </row>
    <row r="83" spans="1:30" s="45" customFormat="1">
      <c r="A83" s="53">
        <v>197</v>
      </c>
      <c r="B83" s="73" t="s">
        <v>875</v>
      </c>
      <c r="C83" s="54">
        <v>2007</v>
      </c>
      <c r="D83" s="73" t="s">
        <v>928</v>
      </c>
      <c r="E83" s="56" t="s">
        <v>20</v>
      </c>
      <c r="F83" s="54">
        <v>2003</v>
      </c>
      <c r="G83" s="54" t="s">
        <v>326</v>
      </c>
      <c r="H83" s="54" t="s">
        <v>159</v>
      </c>
      <c r="I83" s="54"/>
      <c r="J83" s="66" t="s">
        <v>1034</v>
      </c>
      <c r="K83" s="54" t="s">
        <v>1101</v>
      </c>
      <c r="L83" s="54" t="s">
        <v>366</v>
      </c>
      <c r="M83" s="54"/>
      <c r="N83" s="54"/>
      <c r="O83" s="54" t="s">
        <v>933</v>
      </c>
      <c r="P83" s="66"/>
      <c r="Q83" s="54">
        <v>0.86</v>
      </c>
      <c r="R83" s="66">
        <f>+Q83</f>
        <v>0.86</v>
      </c>
      <c r="S83" s="66"/>
      <c r="T83" s="66"/>
      <c r="U83" s="66"/>
      <c r="V83" s="66"/>
      <c r="W83" s="54">
        <v>131.5</v>
      </c>
      <c r="X83" s="66">
        <f t="shared" si="5"/>
        <v>0.86</v>
      </c>
      <c r="Y83" s="206">
        <f>+W83</f>
        <v>131.5</v>
      </c>
      <c r="Z83" s="192" t="str">
        <f t="shared" si="6"/>
        <v>S</v>
      </c>
      <c r="AA83" s="172"/>
      <c r="AB83" s="172"/>
      <c r="AC83" s="172"/>
      <c r="AD83" s="172"/>
    </row>
    <row r="84" spans="1:30" s="45" customFormat="1">
      <c r="A84" s="53">
        <v>174</v>
      </c>
      <c r="B84" s="54" t="s">
        <v>697</v>
      </c>
      <c r="C84" s="54">
        <v>2009</v>
      </c>
      <c r="D84" s="78" t="s">
        <v>698</v>
      </c>
      <c r="E84" s="56" t="s">
        <v>20</v>
      </c>
      <c r="F84" s="57" t="s">
        <v>701</v>
      </c>
      <c r="G84" s="54" t="s">
        <v>714</v>
      </c>
      <c r="H84" s="54" t="s">
        <v>159</v>
      </c>
      <c r="I84" s="54"/>
      <c r="J84" s="66" t="s">
        <v>1034</v>
      </c>
      <c r="K84" s="54" t="s">
        <v>1101</v>
      </c>
      <c r="L84" s="54" t="s">
        <v>167</v>
      </c>
      <c r="M84" s="59"/>
      <c r="N84" s="59"/>
      <c r="O84" s="54" t="s">
        <v>167</v>
      </c>
      <c r="P84" s="60"/>
      <c r="Q84" s="60"/>
      <c r="R84" s="54"/>
      <c r="S84" s="54"/>
      <c r="T84" s="54"/>
      <c r="U84" s="61">
        <v>0.88900000000000001</v>
      </c>
      <c r="V84" s="61"/>
      <c r="W84" s="61"/>
      <c r="X84" s="66">
        <f t="shared" si="5"/>
        <v>0.88900000000000001</v>
      </c>
      <c r="Y84" s="71">
        <v>111.2</v>
      </c>
      <c r="Z84" s="192" t="str">
        <f t="shared" si="6"/>
        <v>S</v>
      </c>
      <c r="AA84" s="172"/>
      <c r="AB84" s="172"/>
      <c r="AC84" s="172"/>
      <c r="AD84" s="172"/>
    </row>
    <row r="85" spans="1:30" s="45" customFormat="1">
      <c r="A85" s="53">
        <v>174</v>
      </c>
      <c r="B85" s="54" t="s">
        <v>697</v>
      </c>
      <c r="C85" s="54">
        <v>2009</v>
      </c>
      <c r="D85" s="78" t="s">
        <v>698</v>
      </c>
      <c r="E85" s="56" t="s">
        <v>20</v>
      </c>
      <c r="F85" s="57" t="s">
        <v>701</v>
      </c>
      <c r="G85" s="54" t="s">
        <v>745</v>
      </c>
      <c r="H85" s="54" t="s">
        <v>746</v>
      </c>
      <c r="I85" s="54"/>
      <c r="J85" s="66" t="s">
        <v>1034</v>
      </c>
      <c r="K85" s="54" t="s">
        <v>1105</v>
      </c>
      <c r="L85" s="54" t="s">
        <v>747</v>
      </c>
      <c r="M85" s="59"/>
      <c r="N85" s="59"/>
      <c r="O85" s="54" t="s">
        <v>748</v>
      </c>
      <c r="P85" s="60"/>
      <c r="Q85" s="60"/>
      <c r="R85" s="54"/>
      <c r="S85" s="54"/>
      <c r="T85" s="54"/>
      <c r="U85" s="61">
        <v>0.95599999999999996</v>
      </c>
      <c r="V85" s="61"/>
      <c r="W85" s="61"/>
      <c r="X85" s="66">
        <f t="shared" si="5"/>
        <v>0.95599999999999996</v>
      </c>
      <c r="Y85" s="71">
        <v>51</v>
      </c>
      <c r="Z85" s="192" t="str">
        <f t="shared" si="6"/>
        <v>F</v>
      </c>
      <c r="AA85" s="172"/>
      <c r="AB85" s="172"/>
      <c r="AC85" s="172"/>
      <c r="AD85" s="172"/>
    </row>
    <row r="86" spans="1:30" s="45" customFormat="1">
      <c r="A86" s="53">
        <v>182</v>
      </c>
      <c r="B86" s="168" t="s">
        <v>875</v>
      </c>
      <c r="C86" s="54">
        <v>2010</v>
      </c>
      <c r="D86" s="73" t="s">
        <v>876</v>
      </c>
      <c r="E86" s="56" t="s">
        <v>20</v>
      </c>
      <c r="F86" s="54">
        <v>2008</v>
      </c>
      <c r="G86" s="54" t="s">
        <v>879</v>
      </c>
      <c r="H86" s="54" t="s">
        <v>880</v>
      </c>
      <c r="I86" s="54"/>
      <c r="J86" s="66" t="s">
        <v>1034</v>
      </c>
      <c r="K86" s="54" t="s">
        <v>1115</v>
      </c>
      <c r="L86" s="54" t="s">
        <v>885</v>
      </c>
      <c r="M86" s="54"/>
      <c r="N86" s="54"/>
      <c r="O86" s="54" t="s">
        <v>886</v>
      </c>
      <c r="P86" s="54"/>
      <c r="Q86" s="54"/>
      <c r="R86" s="54">
        <v>0.93</v>
      </c>
      <c r="S86" s="54"/>
      <c r="T86" s="54"/>
      <c r="U86" s="54"/>
      <c r="V86" s="54"/>
      <c r="W86" s="54"/>
      <c r="X86" s="66">
        <f t="shared" si="5"/>
        <v>0.93</v>
      </c>
      <c r="Y86" s="71">
        <f>112.6*0.52</f>
        <v>58.552</v>
      </c>
      <c r="Z86" s="192" t="str">
        <f t="shared" si="6"/>
        <v>F</v>
      </c>
      <c r="AA86" s="172"/>
      <c r="AB86" s="172"/>
      <c r="AC86" s="172"/>
      <c r="AD86" s="172"/>
    </row>
    <row r="87" spans="1:30" s="45" customFormat="1">
      <c r="A87" s="53">
        <v>182</v>
      </c>
      <c r="B87" s="168" t="s">
        <v>875</v>
      </c>
      <c r="C87" s="54">
        <v>2010</v>
      </c>
      <c r="D87" s="73" t="s">
        <v>876</v>
      </c>
      <c r="E87" s="56" t="s">
        <v>20</v>
      </c>
      <c r="F87" s="54">
        <v>2008</v>
      </c>
      <c r="G87" s="54" t="s">
        <v>879</v>
      </c>
      <c r="H87" s="54" t="s">
        <v>880</v>
      </c>
      <c r="I87" s="54"/>
      <c r="J87" s="66" t="s">
        <v>1034</v>
      </c>
      <c r="K87" s="54" t="s">
        <v>1116</v>
      </c>
      <c r="L87" s="54" t="s">
        <v>885</v>
      </c>
      <c r="M87" s="54"/>
      <c r="N87" s="54"/>
      <c r="O87" s="54" t="s">
        <v>887</v>
      </c>
      <c r="P87" s="54"/>
      <c r="Q87" s="54"/>
      <c r="R87" s="54">
        <v>0.94</v>
      </c>
      <c r="S87" s="54"/>
      <c r="T87" s="54"/>
      <c r="U87" s="54"/>
      <c r="V87" s="54"/>
      <c r="W87" s="54"/>
      <c r="X87" s="66">
        <f t="shared" si="5"/>
        <v>0.94</v>
      </c>
      <c r="Y87" s="71">
        <f>127.4*0.48</f>
        <v>61.152000000000001</v>
      </c>
      <c r="Z87" s="192" t="str">
        <f t="shared" si="6"/>
        <v>F</v>
      </c>
      <c r="AA87" s="172"/>
      <c r="AB87" s="172"/>
      <c r="AC87" s="172"/>
      <c r="AD87" s="172"/>
    </row>
    <row r="88" spans="1:30" s="45" customFormat="1">
      <c r="A88" s="66"/>
      <c r="B88" s="67" t="s">
        <v>1025</v>
      </c>
      <c r="C88" s="171">
        <v>1996</v>
      </c>
      <c r="D88" s="66"/>
      <c r="E88" s="73" t="s">
        <v>49</v>
      </c>
      <c r="F88" s="66"/>
      <c r="G88" s="66"/>
      <c r="H88" s="67" t="s">
        <v>146</v>
      </c>
      <c r="I88" s="66"/>
      <c r="J88" s="66" t="s">
        <v>1034</v>
      </c>
      <c r="K88" s="54" t="s">
        <v>1037</v>
      </c>
      <c r="L88" s="54" t="s">
        <v>1030</v>
      </c>
      <c r="M88" s="66"/>
      <c r="N88" s="66"/>
      <c r="O88" s="67" t="s">
        <v>1026</v>
      </c>
      <c r="P88" s="66"/>
      <c r="Q88" s="66"/>
      <c r="R88" s="66"/>
      <c r="S88" s="66"/>
      <c r="T88" s="66">
        <v>86.6</v>
      </c>
      <c r="U88" s="66">
        <f>+T88</f>
        <v>86.6</v>
      </c>
      <c r="V88" s="66"/>
      <c r="W88" s="66">
        <f>163.3/2</f>
        <v>81.650000000000006</v>
      </c>
      <c r="X88" s="66">
        <f t="shared" si="5"/>
        <v>0.86599999999999999</v>
      </c>
      <c r="Y88" s="206">
        <f>+W88</f>
        <v>81.650000000000006</v>
      </c>
      <c r="Z88" s="192" t="str">
        <f t="shared" si="6"/>
        <v>S</v>
      </c>
      <c r="AA88" s="172"/>
      <c r="AB88" s="172"/>
      <c r="AC88" s="172"/>
      <c r="AD88" s="172"/>
    </row>
    <row r="89" spans="1:30" s="45" customFormat="1">
      <c r="A89" s="66"/>
      <c r="B89" s="67" t="s">
        <v>1025</v>
      </c>
      <c r="C89" s="171">
        <v>1996</v>
      </c>
      <c r="D89" s="66"/>
      <c r="E89" s="73" t="s">
        <v>49</v>
      </c>
      <c r="F89" s="66"/>
      <c r="G89" s="66"/>
      <c r="H89" s="67" t="s">
        <v>146</v>
      </c>
      <c r="I89" s="66"/>
      <c r="J89" s="66" t="s">
        <v>1034</v>
      </c>
      <c r="K89" s="54" t="s">
        <v>1037</v>
      </c>
      <c r="L89" s="54" t="s">
        <v>1030</v>
      </c>
      <c r="M89" s="66"/>
      <c r="N89" s="66"/>
      <c r="O89" s="67" t="s">
        <v>1026</v>
      </c>
      <c r="P89" s="66"/>
      <c r="Q89" s="66"/>
      <c r="R89" s="66"/>
      <c r="S89" s="66">
        <v>89.82</v>
      </c>
      <c r="T89" s="66"/>
      <c r="U89" s="66">
        <f>+S89</f>
        <v>89.82</v>
      </c>
      <c r="V89" s="66">
        <f>110.9/2</f>
        <v>55.45</v>
      </c>
      <c r="W89" s="66"/>
      <c r="X89" s="66">
        <f t="shared" si="5"/>
        <v>0.89819999999999989</v>
      </c>
      <c r="Y89" s="206">
        <f>+V89</f>
        <v>55.45</v>
      </c>
      <c r="Z89" s="192" t="str">
        <f t="shared" si="6"/>
        <v>S</v>
      </c>
      <c r="AA89" s="172"/>
      <c r="AB89" s="172"/>
      <c r="AC89" s="172"/>
      <c r="AD89" s="172"/>
    </row>
    <row r="90" spans="1:30" s="45" customFormat="1">
      <c r="A90" s="53">
        <v>182</v>
      </c>
      <c r="B90" s="168" t="s">
        <v>875</v>
      </c>
      <c r="C90" s="54">
        <v>2010</v>
      </c>
      <c r="D90" s="73" t="s">
        <v>876</v>
      </c>
      <c r="E90" s="56" t="s">
        <v>20</v>
      </c>
      <c r="F90" s="54">
        <v>2008</v>
      </c>
      <c r="G90" s="54" t="s">
        <v>879</v>
      </c>
      <c r="H90" s="54" t="s">
        <v>880</v>
      </c>
      <c r="I90" s="54"/>
      <c r="J90" s="66" t="s">
        <v>1034</v>
      </c>
      <c r="K90" s="54" t="s">
        <v>1119</v>
      </c>
      <c r="L90" s="54" t="s">
        <v>234</v>
      </c>
      <c r="M90" s="54"/>
      <c r="N90" s="54"/>
      <c r="O90" s="54" t="s">
        <v>888</v>
      </c>
      <c r="P90" s="54"/>
      <c r="Q90" s="54"/>
      <c r="R90" s="54">
        <v>0.91</v>
      </c>
      <c r="S90" s="54"/>
      <c r="T90" s="54"/>
      <c r="U90" s="54"/>
      <c r="V90" s="54"/>
      <c r="W90" s="54"/>
      <c r="X90" s="66">
        <f t="shared" si="5"/>
        <v>0.91</v>
      </c>
      <c r="Y90" s="71">
        <f>113.2*0.49</f>
        <v>55.468000000000004</v>
      </c>
      <c r="Z90" s="192" t="str">
        <f t="shared" si="6"/>
        <v>F</v>
      </c>
      <c r="AA90" s="172"/>
      <c r="AB90" s="172"/>
      <c r="AC90" s="172"/>
      <c r="AD90" s="172"/>
    </row>
    <row r="91" spans="1:30" s="45" customFormat="1">
      <c r="A91" s="53">
        <v>182</v>
      </c>
      <c r="B91" s="168" t="s">
        <v>875</v>
      </c>
      <c r="C91" s="54">
        <v>2010</v>
      </c>
      <c r="D91" s="73" t="s">
        <v>876</v>
      </c>
      <c r="E91" s="56" t="s">
        <v>20</v>
      </c>
      <c r="F91" s="54">
        <v>2008</v>
      </c>
      <c r="G91" s="54" t="s">
        <v>879</v>
      </c>
      <c r="H91" s="54" t="s">
        <v>880</v>
      </c>
      <c r="I91" s="54"/>
      <c r="J91" s="66" t="s">
        <v>1034</v>
      </c>
      <c r="K91" s="54" t="s">
        <v>1120</v>
      </c>
      <c r="L91" s="54" t="s">
        <v>234</v>
      </c>
      <c r="M91" s="54"/>
      <c r="N91" s="54"/>
      <c r="O91" s="54" t="s">
        <v>889</v>
      </c>
      <c r="P91" s="54"/>
      <c r="Q91" s="54"/>
      <c r="R91" s="54">
        <v>0.94</v>
      </c>
      <c r="S91" s="54"/>
      <c r="T91" s="54"/>
      <c r="U91" s="54"/>
      <c r="V91" s="54"/>
      <c r="W91" s="54"/>
      <c r="X91" s="66">
        <f t="shared" si="5"/>
        <v>0.94</v>
      </c>
      <c r="Y91" s="71">
        <f>128.4*0.48</f>
        <v>61.631999999999998</v>
      </c>
      <c r="Z91" s="192" t="str">
        <f t="shared" si="6"/>
        <v>F</v>
      </c>
      <c r="AA91" s="172"/>
      <c r="AB91" s="172"/>
      <c r="AC91" s="172"/>
      <c r="AD91" s="172"/>
    </row>
    <row r="92" spans="1:30" s="45" customFormat="1">
      <c r="A92" s="53">
        <v>172</v>
      </c>
      <c r="B92" s="54" t="s">
        <v>585</v>
      </c>
      <c r="C92" s="54">
        <v>2010</v>
      </c>
      <c r="D92" s="54" t="s">
        <v>586</v>
      </c>
      <c r="E92" s="56" t="s">
        <v>589</v>
      </c>
      <c r="F92" s="57">
        <v>40224</v>
      </c>
      <c r="G92" s="54" t="s">
        <v>608</v>
      </c>
      <c r="H92" s="54" t="s">
        <v>581</v>
      </c>
      <c r="I92" s="54"/>
      <c r="J92" s="66" t="s">
        <v>1034</v>
      </c>
      <c r="K92" s="54" t="s">
        <v>1061</v>
      </c>
      <c r="L92" s="54" t="s">
        <v>609</v>
      </c>
      <c r="M92" s="88" t="s">
        <v>610</v>
      </c>
      <c r="N92" s="88"/>
      <c r="O92" s="54"/>
      <c r="P92" s="60"/>
      <c r="Q92" s="60"/>
      <c r="R92" s="54"/>
      <c r="S92" s="54"/>
      <c r="T92" s="54"/>
      <c r="U92" s="60">
        <v>0.95399999999999996</v>
      </c>
      <c r="V92" s="167"/>
      <c r="W92" s="167"/>
      <c r="X92" s="66">
        <f t="shared" si="5"/>
        <v>0.95399999999999996</v>
      </c>
      <c r="Y92" s="71">
        <v>52.3</v>
      </c>
      <c r="Z92" s="192" t="str">
        <f t="shared" si="6"/>
        <v>F</v>
      </c>
      <c r="AA92" s="172"/>
      <c r="AB92" s="172"/>
      <c r="AC92" s="172"/>
      <c r="AD92" s="172"/>
    </row>
    <row r="93" spans="1:30" s="45" customFormat="1">
      <c r="A93" s="53">
        <v>182</v>
      </c>
      <c r="B93" s="168" t="s">
        <v>875</v>
      </c>
      <c r="C93" s="54">
        <v>2010</v>
      </c>
      <c r="D93" s="73" t="s">
        <v>876</v>
      </c>
      <c r="E93" s="56" t="s">
        <v>20</v>
      </c>
      <c r="F93" s="54">
        <v>2008</v>
      </c>
      <c r="G93" s="54" t="s">
        <v>879</v>
      </c>
      <c r="H93" s="54" t="s">
        <v>880</v>
      </c>
      <c r="I93" s="54"/>
      <c r="J93" s="66" t="s">
        <v>1034</v>
      </c>
      <c r="K93" s="54" t="s">
        <v>1118</v>
      </c>
      <c r="L93" s="54" t="s">
        <v>1164</v>
      </c>
      <c r="M93" s="54"/>
      <c r="N93" s="54"/>
      <c r="O93" s="54" t="s">
        <v>882</v>
      </c>
      <c r="P93" s="54"/>
      <c r="Q93" s="54"/>
      <c r="R93" s="54">
        <v>0.94</v>
      </c>
      <c r="S93" s="54"/>
      <c r="T93" s="54"/>
      <c r="U93" s="54"/>
      <c r="V93" s="54"/>
      <c r="W93" s="54"/>
      <c r="X93" s="66">
        <f t="shared" si="5"/>
        <v>0.94</v>
      </c>
      <c r="Y93" s="71">
        <f>126.2*0.5</f>
        <v>63.1</v>
      </c>
      <c r="Z93" s="192" t="str">
        <f t="shared" si="6"/>
        <v>F</v>
      </c>
      <c r="AA93" s="172"/>
      <c r="AB93" s="172"/>
      <c r="AC93" s="172"/>
      <c r="AD93" s="172"/>
    </row>
    <row r="94" spans="1:30" s="45" customFormat="1">
      <c r="A94" s="53">
        <v>182</v>
      </c>
      <c r="B94" s="168" t="s">
        <v>875</v>
      </c>
      <c r="C94" s="54">
        <v>2010</v>
      </c>
      <c r="D94" s="73" t="s">
        <v>876</v>
      </c>
      <c r="E94" s="56" t="s">
        <v>20</v>
      </c>
      <c r="F94" s="54">
        <v>2008</v>
      </c>
      <c r="G94" s="54" t="s">
        <v>879</v>
      </c>
      <c r="H94" s="54" t="s">
        <v>880</v>
      </c>
      <c r="I94" s="54"/>
      <c r="J94" s="66" t="s">
        <v>1034</v>
      </c>
      <c r="K94" s="54" t="s">
        <v>1122</v>
      </c>
      <c r="L94" s="54" t="s">
        <v>890</v>
      </c>
      <c r="M94" s="54"/>
      <c r="N94" s="54"/>
      <c r="O94" s="54" t="s">
        <v>891</v>
      </c>
      <c r="P94" s="54"/>
      <c r="Q94" s="54"/>
      <c r="R94" s="54">
        <v>0.92</v>
      </c>
      <c r="S94" s="54"/>
      <c r="T94" s="54"/>
      <c r="U94" s="54"/>
      <c r="V94" s="54"/>
      <c r="W94" s="54"/>
      <c r="X94" s="66">
        <f t="shared" si="5"/>
        <v>0.92</v>
      </c>
      <c r="Y94" s="71">
        <f>144.5*0.47</f>
        <v>67.914999999999992</v>
      </c>
      <c r="Z94" s="192" t="str">
        <f t="shared" si="6"/>
        <v>F</v>
      </c>
      <c r="AA94" s="172"/>
      <c r="AB94" s="172"/>
      <c r="AC94" s="172"/>
      <c r="AD94" s="172"/>
    </row>
    <row r="95" spans="1:30" s="45" customFormat="1">
      <c r="A95" s="53">
        <v>182</v>
      </c>
      <c r="B95" s="168" t="s">
        <v>875</v>
      </c>
      <c r="C95" s="54">
        <v>2010</v>
      </c>
      <c r="D95" s="73" t="s">
        <v>876</v>
      </c>
      <c r="E95" s="56" t="s">
        <v>20</v>
      </c>
      <c r="F95" s="54">
        <v>2008</v>
      </c>
      <c r="G95" s="54" t="s">
        <v>879</v>
      </c>
      <c r="H95" s="54" t="s">
        <v>880</v>
      </c>
      <c r="I95" s="54"/>
      <c r="J95" s="66" t="s">
        <v>1034</v>
      </c>
      <c r="K95" s="54" t="s">
        <v>1123</v>
      </c>
      <c r="L95" s="54" t="s">
        <v>890</v>
      </c>
      <c r="M95" s="54"/>
      <c r="N95" s="54"/>
      <c r="O95" s="54" t="s">
        <v>892</v>
      </c>
      <c r="P95" s="54"/>
      <c r="Q95" s="54"/>
      <c r="R95" s="54">
        <v>0.92</v>
      </c>
      <c r="S95" s="54"/>
      <c r="T95" s="54"/>
      <c r="U95" s="54"/>
      <c r="V95" s="54"/>
      <c r="W95" s="54"/>
      <c r="X95" s="66">
        <f t="shared" si="5"/>
        <v>0.92</v>
      </c>
      <c r="Y95" s="71">
        <f>162.1*0.5</f>
        <v>81.05</v>
      </c>
      <c r="Z95" s="192" t="str">
        <f t="shared" si="6"/>
        <v>F</v>
      </c>
      <c r="AA95" s="172"/>
      <c r="AB95" s="172"/>
      <c r="AC95" s="172"/>
      <c r="AD95" s="172"/>
    </row>
  </sheetData>
  <sortState ref="A2:Z95">
    <sortCondition ref="K2:K95"/>
    <sortCondition ref="Z2:Z95"/>
    <sortCondition ref="X2:X95"/>
    <sortCondition ref="B2:B95"/>
  </sortState>
  <dataValidations count="1">
    <dataValidation showInputMessage="1" showErrorMessage="1" sqref="A1"/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8"/>
  <sheetViews>
    <sheetView workbookViewId="0">
      <pane ySplit="560" topLeftCell="A428" activePane="bottomLeft"/>
      <selection sqref="A1:Z1"/>
      <selection pane="bottomLeft" sqref="A1:K379"/>
    </sheetView>
  </sheetViews>
  <sheetFormatPr baseColWidth="10" defaultRowHeight="15" x14ac:dyDescent="0"/>
  <cols>
    <col min="2" max="2" width="18.83203125" bestFit="1" customWidth="1"/>
    <col min="3" max="4" width="5.33203125" customWidth="1"/>
    <col min="6" max="6" width="14.1640625" customWidth="1"/>
    <col min="7" max="7" width="14.33203125" customWidth="1"/>
    <col min="10" max="10" width="12.5" bestFit="1" customWidth="1"/>
    <col min="11" max="11" width="26" customWidth="1"/>
    <col min="12" max="12" width="32.83203125" customWidth="1"/>
    <col min="13" max="13" width="17.33203125" customWidth="1"/>
    <col min="14" max="14" width="18.1640625" customWidth="1"/>
    <col min="15" max="15" width="15.5" customWidth="1"/>
    <col min="16" max="16" width="6.83203125" customWidth="1"/>
    <col min="17" max="17" width="8" customWidth="1"/>
    <col min="18" max="18" width="6.33203125" customWidth="1"/>
    <col min="19" max="19" width="11.83203125" customWidth="1"/>
    <col min="20" max="20" width="14.6640625" customWidth="1"/>
    <col min="21" max="22" width="10.83203125" customWidth="1"/>
    <col min="23" max="23" width="9.6640625" customWidth="1"/>
    <col min="24" max="24" width="12.1640625" bestFit="1" customWidth="1"/>
    <col min="25" max="25" width="7.5" style="51" customWidth="1"/>
    <col min="27" max="27" width="38.1640625" bestFit="1" customWidth="1"/>
  </cols>
  <sheetData>
    <row r="1" spans="1:33">
      <c r="A1" s="36" t="s">
        <v>0</v>
      </c>
      <c r="B1" s="36" t="s">
        <v>1</v>
      </c>
      <c r="C1" s="37" t="s">
        <v>2</v>
      </c>
      <c r="D1" s="37" t="s">
        <v>3</v>
      </c>
      <c r="E1" s="36" t="s">
        <v>6</v>
      </c>
      <c r="F1" s="36" t="s">
        <v>7</v>
      </c>
      <c r="G1" s="36" t="s">
        <v>8</v>
      </c>
      <c r="H1" s="36" t="s">
        <v>10</v>
      </c>
      <c r="I1" s="36" t="s">
        <v>1010</v>
      </c>
      <c r="J1" s="36" t="s">
        <v>1011</v>
      </c>
      <c r="K1" s="36" t="s">
        <v>1012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1124</v>
      </c>
      <c r="Q1" s="36" t="s">
        <v>1125</v>
      </c>
      <c r="R1" s="36" t="s">
        <v>1126</v>
      </c>
      <c r="S1" s="36" t="s">
        <v>1127</v>
      </c>
      <c r="T1" s="36" t="s">
        <v>1128</v>
      </c>
      <c r="U1" s="36" t="s">
        <v>1129</v>
      </c>
      <c r="V1" s="36" t="s">
        <v>1130</v>
      </c>
      <c r="W1" s="36" t="s">
        <v>1131</v>
      </c>
      <c r="X1" s="36" t="s">
        <v>1174</v>
      </c>
      <c r="Y1" s="36" t="s">
        <v>15</v>
      </c>
      <c r="Z1" s="36" t="s">
        <v>1176</v>
      </c>
    </row>
    <row r="2" spans="1:33">
      <c r="A2" s="58"/>
      <c r="B2" s="64" t="s">
        <v>988</v>
      </c>
      <c r="C2" s="65">
        <v>1993</v>
      </c>
      <c r="D2" s="58"/>
      <c r="E2" s="64" t="s">
        <v>172</v>
      </c>
      <c r="F2" s="54">
        <v>1990</v>
      </c>
      <c r="G2" s="58"/>
      <c r="H2" s="66" t="s">
        <v>264</v>
      </c>
      <c r="I2" s="67" t="s">
        <v>1014</v>
      </c>
      <c r="J2" s="58" t="s">
        <v>1022</v>
      </c>
      <c r="K2" s="67" t="s">
        <v>1023</v>
      </c>
      <c r="L2" s="54" t="s">
        <v>989</v>
      </c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 t="str">
        <f t="shared" ref="X2:X65" si="0">IF(R2&lt;&gt;0,IF(R2&gt;1,R2/100,R2),IF(U2&lt;&gt;0,IF(U2&gt;1,U2/100,U2),""))</f>
        <v/>
      </c>
      <c r="Y2" s="68">
        <v>2.6</v>
      </c>
      <c r="Z2" s="63" t="str">
        <f t="shared" ref="Z2:Z65" si="1">IF(X2&lt;&gt;"",IF(X2&lt;0.9,"S","F"),"")</f>
        <v/>
      </c>
      <c r="AA2" s="153"/>
      <c r="AB2" s="152" t="s">
        <v>1179</v>
      </c>
      <c r="AC2" s="152" t="s">
        <v>1182</v>
      </c>
      <c r="AD2" s="152" t="s">
        <v>1183</v>
      </c>
      <c r="AE2" s="152" t="s">
        <v>1184</v>
      </c>
      <c r="AF2" s="152" t="s">
        <v>1185</v>
      </c>
      <c r="AG2" s="152" t="s">
        <v>1186</v>
      </c>
    </row>
    <row r="3" spans="1:33">
      <c r="A3" s="75"/>
      <c r="B3" s="64" t="s">
        <v>985</v>
      </c>
      <c r="C3" s="65">
        <v>2011</v>
      </c>
      <c r="D3" s="75"/>
      <c r="E3" s="64" t="s">
        <v>172</v>
      </c>
      <c r="F3" s="75"/>
      <c r="G3" s="75"/>
      <c r="H3" s="75" t="s">
        <v>1135</v>
      </c>
      <c r="I3" s="75" t="s">
        <v>1014</v>
      </c>
      <c r="J3" s="75" t="s">
        <v>1022</v>
      </c>
      <c r="K3" s="75" t="s">
        <v>1151</v>
      </c>
      <c r="L3" s="54" t="s">
        <v>987</v>
      </c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58" t="str">
        <f t="shared" si="0"/>
        <v/>
      </c>
      <c r="Y3" s="68">
        <v>4.7</v>
      </c>
      <c r="Z3" s="63" t="str">
        <f t="shared" si="1"/>
        <v/>
      </c>
      <c r="AA3" s="152" t="s">
        <v>1376</v>
      </c>
      <c r="AB3" s="155">
        <f>AVERAGE($Y$2:$Y$18)</f>
        <v>5.2454614759411768</v>
      </c>
      <c r="AC3" s="155">
        <f>MEDIAN($Y$2:$Y$18)</f>
        <v>5.6</v>
      </c>
      <c r="AD3" s="155">
        <f>MAX($Y$2:$Y$18)</f>
        <v>9.18</v>
      </c>
      <c r="AE3" s="155">
        <f>MIN($Y$2:$Y$18)</f>
        <v>0.8</v>
      </c>
      <c r="AF3" s="155">
        <f>STDEV($Y$2:$Y$18)</f>
        <v>2.817476299216775</v>
      </c>
      <c r="AG3" s="152">
        <f>COUNT($Y$2:$Y$18)</f>
        <v>17</v>
      </c>
    </row>
    <row r="4" spans="1:33">
      <c r="A4" s="53">
        <v>63</v>
      </c>
      <c r="B4" s="65" t="s">
        <v>168</v>
      </c>
      <c r="C4" s="65">
        <v>1989</v>
      </c>
      <c r="D4" s="65" t="s">
        <v>169</v>
      </c>
      <c r="E4" s="76" t="s">
        <v>172</v>
      </c>
      <c r="F4" s="77">
        <v>32367</v>
      </c>
      <c r="G4" s="54" t="s">
        <v>185</v>
      </c>
      <c r="H4" s="78" t="s">
        <v>1135</v>
      </c>
      <c r="I4" s="78"/>
      <c r="J4" s="58" t="s">
        <v>1022</v>
      </c>
      <c r="K4" s="78" t="s">
        <v>1041</v>
      </c>
      <c r="L4" s="79"/>
      <c r="M4" s="79"/>
      <c r="N4" s="79"/>
      <c r="O4" s="79" t="s">
        <v>186</v>
      </c>
      <c r="P4" s="79"/>
      <c r="Q4" s="79"/>
      <c r="R4" s="54"/>
      <c r="S4" s="54"/>
      <c r="T4" s="54"/>
      <c r="U4" s="80"/>
      <c r="V4" s="81"/>
      <c r="W4" s="81"/>
      <c r="X4" s="58" t="str">
        <f t="shared" si="0"/>
        <v/>
      </c>
      <c r="Y4" s="82">
        <v>5.6</v>
      </c>
      <c r="Z4" s="63" t="str">
        <f t="shared" si="1"/>
        <v/>
      </c>
      <c r="AA4" s="152" t="s">
        <v>1377</v>
      </c>
      <c r="AB4" s="155">
        <f>AVERAGE($Y$5:$Y$10)</f>
        <v>2.185474181833333</v>
      </c>
      <c r="AC4" s="155">
        <f>MEDIAN($Y$5:$Y$10)</f>
        <v>2.1714225455</v>
      </c>
      <c r="AD4" s="155">
        <f>MAX($Y$5:$Y$10)</f>
        <v>3.31</v>
      </c>
      <c r="AE4" s="155">
        <f>MIN($Y$5:$Y$10)</f>
        <v>0.8</v>
      </c>
      <c r="AF4" s="155">
        <f>STDEV($Y$5:$Y$10)</f>
        <v>0.89883284035713062</v>
      </c>
      <c r="AG4" s="242">
        <f>COUNT($Y$5:$Y$10)</f>
        <v>6</v>
      </c>
    </row>
    <row r="5" spans="1:33">
      <c r="A5" s="53">
        <v>174</v>
      </c>
      <c r="B5" s="54" t="s">
        <v>697</v>
      </c>
      <c r="C5" s="54">
        <v>2009</v>
      </c>
      <c r="D5" s="55" t="s">
        <v>698</v>
      </c>
      <c r="E5" s="56" t="s">
        <v>20</v>
      </c>
      <c r="F5" s="57" t="s">
        <v>701</v>
      </c>
      <c r="G5" s="54" t="s">
        <v>263</v>
      </c>
      <c r="H5" s="54" t="s">
        <v>264</v>
      </c>
      <c r="I5" s="54"/>
      <c r="J5" s="58" t="s">
        <v>1022</v>
      </c>
      <c r="K5" s="54" t="s">
        <v>1047</v>
      </c>
      <c r="L5" s="54" t="s">
        <v>737</v>
      </c>
      <c r="M5" s="59"/>
      <c r="N5" s="59"/>
      <c r="O5" s="54" t="s">
        <v>737</v>
      </c>
      <c r="P5" s="60"/>
      <c r="Q5" s="60"/>
      <c r="R5" s="54"/>
      <c r="S5" s="54"/>
      <c r="T5" s="54"/>
      <c r="U5" s="61">
        <v>0.95699999999999996</v>
      </c>
      <c r="V5" s="61"/>
      <c r="W5" s="61"/>
      <c r="X5" s="58">
        <f t="shared" si="0"/>
        <v>0.95699999999999996</v>
      </c>
      <c r="Y5" s="62">
        <v>0.8</v>
      </c>
      <c r="Z5" s="63" t="str">
        <f t="shared" si="1"/>
        <v>F</v>
      </c>
      <c r="AA5" s="152" t="s">
        <v>1378</v>
      </c>
      <c r="AB5" s="155">
        <f>AVERAGE($Y$11:$Y$18)</f>
        <v>7.8950000000000005</v>
      </c>
      <c r="AC5" s="155">
        <f>MEDIAN($Y$11:$Y$18)</f>
        <v>7.7249999999999996</v>
      </c>
      <c r="AD5" s="155">
        <f>MAX($Y$11:$Y$18)</f>
        <v>9.18</v>
      </c>
      <c r="AE5" s="155">
        <f>MIN($Y$11:$Y$18)</f>
        <v>7.26</v>
      </c>
      <c r="AF5" s="155">
        <f>STDEV($Y$11:$Y$18)</f>
        <v>0.67696803047537935</v>
      </c>
      <c r="AG5" s="242">
        <f>COUNT($Y$11:$Y$18)</f>
        <v>8</v>
      </c>
    </row>
    <row r="6" spans="1:33">
      <c r="A6" s="53">
        <v>174</v>
      </c>
      <c r="B6" s="54" t="s">
        <v>697</v>
      </c>
      <c r="C6" s="54">
        <v>2009</v>
      </c>
      <c r="D6" s="55" t="s">
        <v>698</v>
      </c>
      <c r="E6" s="56" t="s">
        <v>20</v>
      </c>
      <c r="F6" s="57" t="s">
        <v>701</v>
      </c>
      <c r="G6" s="54" t="s">
        <v>263</v>
      </c>
      <c r="H6" s="54" t="s">
        <v>264</v>
      </c>
      <c r="I6" s="54"/>
      <c r="J6" s="54" t="s">
        <v>1022</v>
      </c>
      <c r="K6" s="54" t="s">
        <v>1114</v>
      </c>
      <c r="L6" s="54" t="s">
        <v>744</v>
      </c>
      <c r="M6" s="59"/>
      <c r="N6" s="59"/>
      <c r="O6" s="54" t="s">
        <v>744</v>
      </c>
      <c r="P6" s="60"/>
      <c r="Q6" s="60"/>
      <c r="R6" s="54"/>
      <c r="S6" s="54"/>
      <c r="T6" s="54"/>
      <c r="U6" s="61">
        <v>0.97099999999999997</v>
      </c>
      <c r="V6" s="61"/>
      <c r="W6" s="61"/>
      <c r="X6" s="58">
        <f t="shared" si="0"/>
        <v>0.97099999999999997</v>
      </c>
      <c r="Y6" s="62">
        <v>1.7</v>
      </c>
      <c r="Z6" s="63" t="str">
        <f t="shared" si="1"/>
        <v>F</v>
      </c>
    </row>
    <row r="7" spans="1:33">
      <c r="A7" s="53">
        <v>181</v>
      </c>
      <c r="B7" s="54" t="s">
        <v>766</v>
      </c>
      <c r="C7" s="54">
        <v>2009</v>
      </c>
      <c r="D7" s="83" t="s">
        <v>767</v>
      </c>
      <c r="E7" s="84" t="s">
        <v>49</v>
      </c>
      <c r="F7" s="85" t="s">
        <v>841</v>
      </c>
      <c r="G7" s="54" t="s">
        <v>842</v>
      </c>
      <c r="H7" s="74" t="s">
        <v>790</v>
      </c>
      <c r="I7" s="74"/>
      <c r="J7" s="74" t="s">
        <v>1022</v>
      </c>
      <c r="K7" s="58"/>
      <c r="L7" s="85" t="s">
        <v>782</v>
      </c>
      <c r="M7" s="85" t="s">
        <v>843</v>
      </c>
      <c r="N7" s="85"/>
      <c r="O7" s="85" t="s">
        <v>844</v>
      </c>
      <c r="P7" s="85"/>
      <c r="Q7" s="85"/>
      <c r="R7" s="54"/>
      <c r="S7" s="54"/>
      <c r="T7" s="54"/>
      <c r="U7" s="85">
        <v>0.94199999999999995</v>
      </c>
      <c r="V7" s="86"/>
      <c r="W7" s="86"/>
      <c r="X7" s="58">
        <f t="shared" si="0"/>
        <v>0.94199999999999995</v>
      </c>
      <c r="Y7" s="87">
        <v>2.072845091</v>
      </c>
      <c r="Z7" s="63" t="str">
        <f t="shared" si="1"/>
        <v>F</v>
      </c>
    </row>
    <row r="8" spans="1:33">
      <c r="A8" s="53">
        <v>119</v>
      </c>
      <c r="B8" s="65" t="s">
        <v>399</v>
      </c>
      <c r="C8" s="65">
        <v>2000</v>
      </c>
      <c r="D8" s="65" t="s">
        <v>407</v>
      </c>
      <c r="E8" s="56" t="s">
        <v>410</v>
      </c>
      <c r="F8" s="69">
        <v>35603</v>
      </c>
      <c r="G8" s="54" t="s">
        <v>422</v>
      </c>
      <c r="H8" s="54" t="s">
        <v>264</v>
      </c>
      <c r="I8" s="54" t="s">
        <v>1014</v>
      </c>
      <c r="J8" s="66" t="s">
        <v>1022</v>
      </c>
      <c r="K8" s="54" t="s">
        <v>1023</v>
      </c>
      <c r="L8" s="54" t="s">
        <v>419</v>
      </c>
      <c r="M8" s="54" t="s">
        <v>265</v>
      </c>
      <c r="N8" s="60"/>
      <c r="O8" s="60" t="s">
        <v>423</v>
      </c>
      <c r="P8" s="54"/>
      <c r="Q8" s="54"/>
      <c r="R8" s="60"/>
      <c r="S8" s="60"/>
      <c r="T8" s="60"/>
      <c r="U8" s="54">
        <v>0.92900000000000005</v>
      </c>
      <c r="V8" s="70"/>
      <c r="W8" s="70"/>
      <c r="X8" s="58">
        <f t="shared" si="0"/>
        <v>0.92900000000000005</v>
      </c>
      <c r="Y8" s="71">
        <v>2.27</v>
      </c>
      <c r="Z8" s="63" t="str">
        <f t="shared" si="1"/>
        <v>F</v>
      </c>
    </row>
    <row r="9" spans="1:33">
      <c r="A9" s="53">
        <v>119</v>
      </c>
      <c r="B9" s="65" t="s">
        <v>399</v>
      </c>
      <c r="C9" s="65">
        <v>2000</v>
      </c>
      <c r="D9" s="65" t="s">
        <v>407</v>
      </c>
      <c r="E9" s="56" t="s">
        <v>410</v>
      </c>
      <c r="F9" s="54" t="s">
        <v>424</v>
      </c>
      <c r="G9" s="54" t="s">
        <v>425</v>
      </c>
      <c r="H9" s="54" t="s">
        <v>264</v>
      </c>
      <c r="I9" s="54" t="s">
        <v>1014</v>
      </c>
      <c r="J9" s="66" t="s">
        <v>1022</v>
      </c>
      <c r="K9" s="54" t="s">
        <v>1023</v>
      </c>
      <c r="L9" s="54" t="s">
        <v>419</v>
      </c>
      <c r="M9" s="54" t="s">
        <v>265</v>
      </c>
      <c r="N9" s="54" t="s">
        <v>420</v>
      </c>
      <c r="O9" s="60" t="s">
        <v>426</v>
      </c>
      <c r="P9" s="54"/>
      <c r="Q9" s="54"/>
      <c r="R9" s="60"/>
      <c r="S9" s="60"/>
      <c r="T9" s="60"/>
      <c r="U9" s="54">
        <v>0.91700000000000004</v>
      </c>
      <c r="V9" s="60"/>
      <c r="W9" s="60"/>
      <c r="X9" s="58">
        <f t="shared" si="0"/>
        <v>0.91700000000000004</v>
      </c>
      <c r="Y9" s="72">
        <v>2.96</v>
      </c>
      <c r="Z9" s="63" t="str">
        <f t="shared" si="1"/>
        <v>F</v>
      </c>
    </row>
    <row r="10" spans="1:33">
      <c r="A10" s="53">
        <v>119</v>
      </c>
      <c r="B10" s="65" t="s">
        <v>399</v>
      </c>
      <c r="C10" s="65">
        <v>2000</v>
      </c>
      <c r="D10" s="65" t="s">
        <v>407</v>
      </c>
      <c r="E10" s="56" t="s">
        <v>410</v>
      </c>
      <c r="F10" s="54" t="s">
        <v>417</v>
      </c>
      <c r="G10" s="54" t="s">
        <v>418</v>
      </c>
      <c r="H10" s="54" t="s">
        <v>264</v>
      </c>
      <c r="I10" s="54" t="s">
        <v>1014</v>
      </c>
      <c r="J10" s="66" t="s">
        <v>1022</v>
      </c>
      <c r="K10" s="54" t="s">
        <v>1023</v>
      </c>
      <c r="L10" s="54" t="s">
        <v>419</v>
      </c>
      <c r="M10" s="54" t="s">
        <v>265</v>
      </c>
      <c r="N10" s="54" t="s">
        <v>420</v>
      </c>
      <c r="O10" s="54" t="s">
        <v>421</v>
      </c>
      <c r="P10" s="54"/>
      <c r="Q10" s="54"/>
      <c r="R10" s="54"/>
      <c r="S10" s="54"/>
      <c r="T10" s="54"/>
      <c r="U10" s="54">
        <v>0.91600000000000004</v>
      </c>
      <c r="V10" s="70"/>
      <c r="W10" s="70"/>
      <c r="X10" s="58">
        <f t="shared" si="0"/>
        <v>0.91600000000000004</v>
      </c>
      <c r="Y10" s="71">
        <v>3.31</v>
      </c>
      <c r="Z10" s="63" t="str">
        <f t="shared" si="1"/>
        <v>F</v>
      </c>
    </row>
    <row r="11" spans="1:33">
      <c r="A11" s="58"/>
      <c r="B11" s="73" t="s">
        <v>766</v>
      </c>
      <c r="C11" s="54">
        <v>2013</v>
      </c>
      <c r="D11" s="58"/>
      <c r="E11" s="56" t="s">
        <v>172</v>
      </c>
      <c r="F11" s="54">
        <v>2011</v>
      </c>
      <c r="G11" s="54" t="s">
        <v>970</v>
      </c>
      <c r="H11" s="58" t="s">
        <v>302</v>
      </c>
      <c r="I11" s="58"/>
      <c r="J11" s="74" t="s">
        <v>1022</v>
      </c>
      <c r="K11" s="74" t="s">
        <v>1114</v>
      </c>
      <c r="L11" s="54" t="s">
        <v>973</v>
      </c>
      <c r="M11" s="58"/>
      <c r="N11" s="58"/>
      <c r="O11" s="66" t="s">
        <v>971</v>
      </c>
      <c r="P11" s="58"/>
      <c r="Q11" s="58"/>
      <c r="R11" s="58"/>
      <c r="S11" s="58"/>
      <c r="T11" s="58"/>
      <c r="U11" s="54">
        <v>0.86499999999999999</v>
      </c>
      <c r="V11" s="58"/>
      <c r="W11" s="58"/>
      <c r="X11" s="58">
        <f t="shared" si="0"/>
        <v>0.86499999999999999</v>
      </c>
      <c r="Y11" s="72">
        <v>7.26</v>
      </c>
      <c r="Z11" s="63" t="str">
        <f t="shared" si="1"/>
        <v>S</v>
      </c>
    </row>
    <row r="12" spans="1:33">
      <c r="A12" s="58"/>
      <c r="B12" s="73" t="s">
        <v>766</v>
      </c>
      <c r="C12" s="54">
        <v>2013</v>
      </c>
      <c r="D12" s="58"/>
      <c r="E12" s="56" t="s">
        <v>172</v>
      </c>
      <c r="F12" s="54">
        <v>2011</v>
      </c>
      <c r="G12" s="54" t="s">
        <v>970</v>
      </c>
      <c r="H12" s="58" t="s">
        <v>302</v>
      </c>
      <c r="I12" s="58"/>
      <c r="J12" s="74" t="s">
        <v>1022</v>
      </c>
      <c r="K12" s="74" t="s">
        <v>1114</v>
      </c>
      <c r="L12" s="54" t="s">
        <v>973</v>
      </c>
      <c r="M12" s="58"/>
      <c r="N12" s="58"/>
      <c r="O12" s="66" t="s">
        <v>971</v>
      </c>
      <c r="P12" s="58"/>
      <c r="Q12" s="58"/>
      <c r="R12" s="58"/>
      <c r="S12" s="58"/>
      <c r="T12" s="58"/>
      <c r="U12" s="54">
        <v>0.86799999999999999</v>
      </c>
      <c r="V12" s="58"/>
      <c r="W12" s="58"/>
      <c r="X12" s="58">
        <f t="shared" si="0"/>
        <v>0.86799999999999999</v>
      </c>
      <c r="Y12" s="72">
        <v>7.32</v>
      </c>
      <c r="Z12" s="63" t="str">
        <f t="shared" si="1"/>
        <v>S</v>
      </c>
    </row>
    <row r="13" spans="1:33">
      <c r="A13" s="58"/>
      <c r="B13" s="73" t="s">
        <v>766</v>
      </c>
      <c r="C13" s="54">
        <v>2013</v>
      </c>
      <c r="D13" s="58"/>
      <c r="E13" s="56" t="s">
        <v>172</v>
      </c>
      <c r="F13" s="54">
        <v>2011</v>
      </c>
      <c r="G13" s="54" t="s">
        <v>970</v>
      </c>
      <c r="H13" s="58" t="s">
        <v>302</v>
      </c>
      <c r="I13" s="58"/>
      <c r="J13" s="74" t="s">
        <v>1022</v>
      </c>
      <c r="K13" s="74" t="s">
        <v>1114</v>
      </c>
      <c r="L13" s="54" t="s">
        <v>973</v>
      </c>
      <c r="M13" s="58"/>
      <c r="N13" s="58"/>
      <c r="O13" s="66" t="s">
        <v>971</v>
      </c>
      <c r="P13" s="58"/>
      <c r="Q13" s="58"/>
      <c r="R13" s="58"/>
      <c r="S13" s="58"/>
      <c r="T13" s="58"/>
      <c r="U13" s="54">
        <v>0.879</v>
      </c>
      <c r="V13" s="58"/>
      <c r="W13" s="58"/>
      <c r="X13" s="58">
        <f t="shared" si="0"/>
        <v>0.879</v>
      </c>
      <c r="Y13" s="72">
        <v>7.48</v>
      </c>
      <c r="Z13" s="63" t="str">
        <f t="shared" si="1"/>
        <v>S</v>
      </c>
    </row>
    <row r="14" spans="1:33">
      <c r="A14" s="58"/>
      <c r="B14" s="73" t="s">
        <v>766</v>
      </c>
      <c r="C14" s="54">
        <v>2013</v>
      </c>
      <c r="D14" s="58"/>
      <c r="E14" s="56" t="s">
        <v>172</v>
      </c>
      <c r="F14" s="54">
        <v>2011</v>
      </c>
      <c r="G14" s="54" t="s">
        <v>970</v>
      </c>
      <c r="H14" s="58" t="s">
        <v>302</v>
      </c>
      <c r="I14" s="58"/>
      <c r="J14" s="74" t="s">
        <v>1022</v>
      </c>
      <c r="K14" s="74" t="s">
        <v>1114</v>
      </c>
      <c r="L14" s="54" t="s">
        <v>973</v>
      </c>
      <c r="M14" s="58"/>
      <c r="N14" s="58"/>
      <c r="O14" s="66" t="s">
        <v>971</v>
      </c>
      <c r="P14" s="58"/>
      <c r="Q14" s="58"/>
      <c r="R14" s="58"/>
      <c r="S14" s="58"/>
      <c r="T14" s="58"/>
      <c r="U14" s="54">
        <v>0.86899999999999999</v>
      </c>
      <c r="V14" s="58"/>
      <c r="W14" s="58"/>
      <c r="X14" s="58">
        <f t="shared" si="0"/>
        <v>0.86899999999999999</v>
      </c>
      <c r="Y14" s="72">
        <v>7.71</v>
      </c>
      <c r="Z14" s="63" t="str">
        <f t="shared" si="1"/>
        <v>S</v>
      </c>
    </row>
    <row r="15" spans="1:33">
      <c r="A15" s="58"/>
      <c r="B15" s="73" t="s">
        <v>766</v>
      </c>
      <c r="C15" s="54">
        <v>2013</v>
      </c>
      <c r="D15" s="58"/>
      <c r="E15" s="56" t="s">
        <v>172</v>
      </c>
      <c r="F15" s="54">
        <v>2011</v>
      </c>
      <c r="G15" s="54" t="s">
        <v>970</v>
      </c>
      <c r="H15" s="58" t="s">
        <v>302</v>
      </c>
      <c r="I15" s="58"/>
      <c r="J15" s="74" t="s">
        <v>1022</v>
      </c>
      <c r="K15" s="74" t="s">
        <v>1114</v>
      </c>
      <c r="L15" s="54" t="s">
        <v>973</v>
      </c>
      <c r="M15" s="58"/>
      <c r="N15" s="58"/>
      <c r="O15" s="66" t="s">
        <v>971</v>
      </c>
      <c r="P15" s="58"/>
      <c r="Q15" s="58"/>
      <c r="R15" s="58"/>
      <c r="S15" s="58"/>
      <c r="T15" s="58"/>
      <c r="U15" s="54">
        <v>0.873</v>
      </c>
      <c r="V15" s="58"/>
      <c r="W15" s="58"/>
      <c r="X15" s="58">
        <f t="shared" si="0"/>
        <v>0.873</v>
      </c>
      <c r="Y15" s="72">
        <v>7.74</v>
      </c>
      <c r="Z15" s="63" t="str">
        <f t="shared" si="1"/>
        <v>S</v>
      </c>
    </row>
    <row r="16" spans="1:33">
      <c r="A16" s="58"/>
      <c r="B16" s="73" t="s">
        <v>766</v>
      </c>
      <c r="C16" s="54">
        <v>2013</v>
      </c>
      <c r="D16" s="58"/>
      <c r="E16" s="56" t="s">
        <v>172</v>
      </c>
      <c r="F16" s="54">
        <v>2011</v>
      </c>
      <c r="G16" s="54" t="s">
        <v>970</v>
      </c>
      <c r="H16" s="58" t="s">
        <v>302</v>
      </c>
      <c r="I16" s="58"/>
      <c r="J16" s="74" t="s">
        <v>1022</v>
      </c>
      <c r="K16" s="74" t="s">
        <v>1114</v>
      </c>
      <c r="L16" s="54" t="s">
        <v>973</v>
      </c>
      <c r="M16" s="58"/>
      <c r="N16" s="58"/>
      <c r="O16" s="66" t="s">
        <v>971</v>
      </c>
      <c r="P16" s="58"/>
      <c r="Q16" s="58"/>
      <c r="R16" s="58"/>
      <c r="S16" s="58"/>
      <c r="T16" s="58"/>
      <c r="U16" s="54">
        <v>0.86099999999999999</v>
      </c>
      <c r="V16" s="58"/>
      <c r="W16" s="58"/>
      <c r="X16" s="58">
        <f t="shared" si="0"/>
        <v>0.86099999999999999</v>
      </c>
      <c r="Y16" s="72">
        <v>7.81</v>
      </c>
      <c r="Z16" s="63" t="str">
        <f t="shared" si="1"/>
        <v>S</v>
      </c>
    </row>
    <row r="17" spans="1:34">
      <c r="A17" s="58"/>
      <c r="B17" s="73" t="s">
        <v>766</v>
      </c>
      <c r="C17" s="54">
        <v>2013</v>
      </c>
      <c r="D17" s="58"/>
      <c r="E17" s="56" t="s">
        <v>172</v>
      </c>
      <c r="F17" s="54">
        <v>2011</v>
      </c>
      <c r="G17" s="54" t="s">
        <v>970</v>
      </c>
      <c r="H17" s="58" t="s">
        <v>302</v>
      </c>
      <c r="I17" s="58"/>
      <c r="J17" s="74" t="s">
        <v>1022</v>
      </c>
      <c r="K17" s="74" t="s">
        <v>1114</v>
      </c>
      <c r="L17" s="54" t="s">
        <v>973</v>
      </c>
      <c r="M17" s="58"/>
      <c r="N17" s="58"/>
      <c r="O17" s="66" t="s">
        <v>971</v>
      </c>
      <c r="P17" s="58"/>
      <c r="Q17" s="58"/>
      <c r="R17" s="58"/>
      <c r="S17" s="58"/>
      <c r="T17" s="58"/>
      <c r="U17" s="54">
        <v>0.86799999999999999</v>
      </c>
      <c r="V17" s="58"/>
      <c r="W17" s="58"/>
      <c r="X17" s="58">
        <f t="shared" si="0"/>
        <v>0.86799999999999999</v>
      </c>
      <c r="Y17" s="72">
        <v>8.66</v>
      </c>
      <c r="Z17" s="63" t="str">
        <f t="shared" si="1"/>
        <v>S</v>
      </c>
    </row>
    <row r="18" spans="1:34">
      <c r="A18" s="58"/>
      <c r="B18" s="73" t="s">
        <v>766</v>
      </c>
      <c r="C18" s="54">
        <v>2013</v>
      </c>
      <c r="D18" s="58"/>
      <c r="E18" s="56" t="s">
        <v>172</v>
      </c>
      <c r="F18" s="54">
        <v>2011</v>
      </c>
      <c r="G18" s="54" t="s">
        <v>970</v>
      </c>
      <c r="H18" s="58" t="s">
        <v>302</v>
      </c>
      <c r="I18" s="58"/>
      <c r="J18" s="74" t="s">
        <v>1022</v>
      </c>
      <c r="K18" s="74" t="s">
        <v>1114</v>
      </c>
      <c r="L18" s="54" t="s">
        <v>973</v>
      </c>
      <c r="M18" s="58"/>
      <c r="N18" s="58"/>
      <c r="O18" s="66" t="s">
        <v>971</v>
      </c>
      <c r="P18" s="58"/>
      <c r="Q18" s="58"/>
      <c r="R18" s="58"/>
      <c r="S18" s="58"/>
      <c r="T18" s="58"/>
      <c r="U18" s="54">
        <v>0.85</v>
      </c>
      <c r="V18" s="58"/>
      <c r="W18" s="58"/>
      <c r="X18" s="58">
        <f t="shared" si="0"/>
        <v>0.85</v>
      </c>
      <c r="Y18" s="72">
        <v>9.18</v>
      </c>
      <c r="Z18" s="63" t="str">
        <f t="shared" si="1"/>
        <v>S</v>
      </c>
    </row>
    <row r="19" spans="1:34" s="107" customFormat="1">
      <c r="A19" s="97">
        <v>172</v>
      </c>
      <c r="B19" s="98" t="s">
        <v>585</v>
      </c>
      <c r="C19" s="98">
        <v>2010</v>
      </c>
      <c r="D19" s="98" t="s">
        <v>586</v>
      </c>
      <c r="E19" s="99" t="s">
        <v>589</v>
      </c>
      <c r="F19" s="100">
        <v>40233</v>
      </c>
      <c r="G19" s="98" t="s">
        <v>629</v>
      </c>
      <c r="H19" s="98" t="s">
        <v>264</v>
      </c>
      <c r="I19" s="98"/>
      <c r="J19" s="101" t="s">
        <v>1059</v>
      </c>
      <c r="K19" s="98" t="s">
        <v>1060</v>
      </c>
      <c r="L19" s="98" t="s">
        <v>630</v>
      </c>
      <c r="M19" s="102"/>
      <c r="N19" s="102"/>
      <c r="O19" s="98"/>
      <c r="P19" s="103"/>
      <c r="Q19" s="103"/>
      <c r="R19" s="98"/>
      <c r="S19" s="98"/>
      <c r="T19" s="98"/>
      <c r="U19" s="104">
        <v>0.82699999999999996</v>
      </c>
      <c r="V19" s="104"/>
      <c r="W19" s="104"/>
      <c r="X19" s="101">
        <f t="shared" si="0"/>
        <v>0.82699999999999996</v>
      </c>
      <c r="Y19" s="105">
        <v>9.5960000000000001</v>
      </c>
      <c r="Z19" s="106" t="str">
        <f t="shared" si="1"/>
        <v>S</v>
      </c>
      <c r="AA19" s="107" t="s">
        <v>1059</v>
      </c>
    </row>
    <row r="20" spans="1:34" s="107" customFormat="1">
      <c r="A20" s="97">
        <v>174</v>
      </c>
      <c r="B20" s="98" t="s">
        <v>697</v>
      </c>
      <c r="C20" s="98">
        <v>2009</v>
      </c>
      <c r="D20" s="108" t="s">
        <v>698</v>
      </c>
      <c r="E20" s="99" t="s">
        <v>20</v>
      </c>
      <c r="F20" s="100" t="s">
        <v>701</v>
      </c>
      <c r="G20" s="98" t="s">
        <v>726</v>
      </c>
      <c r="H20" s="98" t="s">
        <v>264</v>
      </c>
      <c r="I20" s="98"/>
      <c r="J20" s="101" t="s">
        <v>1059</v>
      </c>
      <c r="K20" s="98" t="s">
        <v>1060</v>
      </c>
      <c r="L20" s="98" t="s">
        <v>727</v>
      </c>
      <c r="M20" s="109"/>
      <c r="N20" s="109"/>
      <c r="O20" s="98" t="s">
        <v>727</v>
      </c>
      <c r="P20" s="103"/>
      <c r="Q20" s="103"/>
      <c r="R20" s="98"/>
      <c r="S20" s="98"/>
      <c r="T20" s="98"/>
      <c r="U20" s="104">
        <v>0.86699999999999999</v>
      </c>
      <c r="V20" s="104"/>
      <c r="W20" s="104"/>
      <c r="X20" s="101">
        <f t="shared" si="0"/>
        <v>0.86699999999999999</v>
      </c>
      <c r="Y20" s="110">
        <v>2.2999999999999998</v>
      </c>
      <c r="Z20" s="106" t="str">
        <f t="shared" si="1"/>
        <v>S</v>
      </c>
    </row>
    <row r="21" spans="1:34" s="107" customFormat="1">
      <c r="A21" s="97">
        <v>174</v>
      </c>
      <c r="B21" s="98" t="s">
        <v>697</v>
      </c>
      <c r="C21" s="98">
        <v>2009</v>
      </c>
      <c r="D21" s="108" t="s">
        <v>698</v>
      </c>
      <c r="E21" s="99" t="s">
        <v>20</v>
      </c>
      <c r="F21" s="100" t="s">
        <v>701</v>
      </c>
      <c r="G21" s="98" t="s">
        <v>726</v>
      </c>
      <c r="H21" s="98" t="s">
        <v>264</v>
      </c>
      <c r="I21" s="98"/>
      <c r="J21" s="101" t="s">
        <v>1059</v>
      </c>
      <c r="K21" s="98" t="s">
        <v>1084</v>
      </c>
      <c r="L21" s="98" t="s">
        <v>728</v>
      </c>
      <c r="M21" s="109"/>
      <c r="N21" s="109"/>
      <c r="O21" s="98" t="s">
        <v>729</v>
      </c>
      <c r="P21" s="103"/>
      <c r="Q21" s="103"/>
      <c r="R21" s="98"/>
      <c r="S21" s="98"/>
      <c r="T21" s="98"/>
      <c r="U21" s="104">
        <v>0.91700000000000004</v>
      </c>
      <c r="V21" s="104"/>
      <c r="W21" s="104"/>
      <c r="X21" s="101">
        <f t="shared" si="0"/>
        <v>0.91700000000000004</v>
      </c>
      <c r="Y21" s="110">
        <v>1.4</v>
      </c>
      <c r="Z21" s="106" t="str">
        <f t="shared" si="1"/>
        <v>F</v>
      </c>
    </row>
    <row r="22" spans="1:34" s="107" customFormat="1">
      <c r="A22" s="97">
        <v>121</v>
      </c>
      <c r="B22" s="103" t="s">
        <v>427</v>
      </c>
      <c r="C22" s="103">
        <v>2003</v>
      </c>
      <c r="D22" s="103" t="s">
        <v>428</v>
      </c>
      <c r="E22" s="99" t="s">
        <v>430</v>
      </c>
      <c r="F22" s="98">
        <v>2002</v>
      </c>
      <c r="G22" s="98" t="s">
        <v>434</v>
      </c>
      <c r="H22" s="98" t="s">
        <v>1135</v>
      </c>
      <c r="I22" s="98"/>
      <c r="J22" s="98" t="s">
        <v>1059</v>
      </c>
      <c r="K22" s="98" t="s">
        <v>1140</v>
      </c>
      <c r="L22" s="98" t="s">
        <v>435</v>
      </c>
      <c r="M22" s="98" t="s">
        <v>449</v>
      </c>
      <c r="N22" s="98" t="s">
        <v>450</v>
      </c>
      <c r="O22" s="98" t="s">
        <v>438</v>
      </c>
      <c r="P22" s="98"/>
      <c r="Q22" s="98"/>
      <c r="R22" s="98"/>
      <c r="S22" s="98"/>
      <c r="T22" s="98"/>
      <c r="U22" s="98"/>
      <c r="V22" s="98"/>
      <c r="W22" s="98"/>
      <c r="X22" s="101" t="str">
        <f t="shared" si="0"/>
        <v/>
      </c>
      <c r="Y22" s="111">
        <v>6.3</v>
      </c>
      <c r="Z22" s="106" t="str">
        <f t="shared" si="1"/>
        <v/>
      </c>
    </row>
    <row r="23" spans="1:34" s="107" customFormat="1">
      <c r="A23" s="97">
        <v>121</v>
      </c>
      <c r="B23" s="103" t="s">
        <v>427</v>
      </c>
      <c r="C23" s="103">
        <v>2003</v>
      </c>
      <c r="D23" s="103" t="s">
        <v>428</v>
      </c>
      <c r="E23" s="99" t="s">
        <v>430</v>
      </c>
      <c r="F23" s="98">
        <v>2002</v>
      </c>
      <c r="G23" s="98" t="s">
        <v>434</v>
      </c>
      <c r="H23" s="98" t="s">
        <v>1135</v>
      </c>
      <c r="I23" s="98"/>
      <c r="J23" s="98" t="s">
        <v>1059</v>
      </c>
      <c r="K23" s="98" t="s">
        <v>1140</v>
      </c>
      <c r="L23" s="98" t="s">
        <v>435</v>
      </c>
      <c r="M23" s="98" t="s">
        <v>449</v>
      </c>
      <c r="N23" s="98" t="s">
        <v>450</v>
      </c>
      <c r="O23" s="98" t="s">
        <v>451</v>
      </c>
      <c r="P23" s="98"/>
      <c r="Q23" s="98"/>
      <c r="R23" s="98"/>
      <c r="S23" s="98"/>
      <c r="T23" s="98"/>
      <c r="U23" s="98"/>
      <c r="V23" s="98"/>
      <c r="W23" s="98"/>
      <c r="X23" s="101" t="str">
        <f t="shared" si="0"/>
        <v/>
      </c>
      <c r="Y23" s="111">
        <v>9</v>
      </c>
      <c r="Z23" s="106" t="str">
        <f t="shared" si="1"/>
        <v/>
      </c>
    </row>
    <row r="24" spans="1:34">
      <c r="A24" s="53">
        <v>119</v>
      </c>
      <c r="B24" s="65" t="s">
        <v>399</v>
      </c>
      <c r="C24" s="65">
        <v>2000</v>
      </c>
      <c r="D24" s="65" t="s">
        <v>407</v>
      </c>
      <c r="E24" s="56" t="s">
        <v>410</v>
      </c>
      <c r="F24" s="69">
        <v>35594</v>
      </c>
      <c r="G24" s="54" t="s">
        <v>411</v>
      </c>
      <c r="H24" s="54" t="s">
        <v>264</v>
      </c>
      <c r="I24" s="54" t="s">
        <v>1014</v>
      </c>
      <c r="J24" s="66" t="s">
        <v>1057</v>
      </c>
      <c r="K24" s="54" t="s">
        <v>1058</v>
      </c>
      <c r="L24" s="54" t="s">
        <v>413</v>
      </c>
      <c r="M24" s="54" t="s">
        <v>414</v>
      </c>
      <c r="N24" s="54" t="s">
        <v>415</v>
      </c>
      <c r="O24" s="54" t="s">
        <v>416</v>
      </c>
      <c r="P24" s="54"/>
      <c r="Q24" s="54"/>
      <c r="R24" s="54"/>
      <c r="S24" s="54"/>
      <c r="T24" s="54"/>
      <c r="U24" s="54">
        <v>0.92500000000000004</v>
      </c>
      <c r="V24" s="70"/>
      <c r="W24" s="70"/>
      <c r="X24" s="58">
        <f t="shared" si="0"/>
        <v>0.92500000000000004</v>
      </c>
      <c r="Y24" s="71">
        <v>3.45</v>
      </c>
      <c r="Z24" s="63" t="str">
        <f t="shared" si="1"/>
        <v>F</v>
      </c>
    </row>
    <row r="25" spans="1:34" s="107" customFormat="1">
      <c r="A25" s="97">
        <v>94</v>
      </c>
      <c r="B25" s="103" t="s">
        <v>45</v>
      </c>
      <c r="C25" s="103">
        <v>1992</v>
      </c>
      <c r="D25" s="103" t="s">
        <v>276</v>
      </c>
      <c r="E25" s="99" t="s">
        <v>172</v>
      </c>
      <c r="F25" s="98">
        <v>1991</v>
      </c>
      <c r="G25" s="98" t="s">
        <v>279</v>
      </c>
      <c r="H25" s="98" t="s">
        <v>1135</v>
      </c>
      <c r="I25" s="98"/>
      <c r="J25" s="98" t="s">
        <v>1048</v>
      </c>
      <c r="K25" s="98" t="s">
        <v>1136</v>
      </c>
      <c r="L25" s="98" t="s">
        <v>280</v>
      </c>
      <c r="M25" s="98"/>
      <c r="N25" s="98"/>
      <c r="O25" s="98" t="s">
        <v>295</v>
      </c>
      <c r="P25" s="98"/>
      <c r="Q25" s="98"/>
      <c r="R25" s="98"/>
      <c r="S25" s="98"/>
      <c r="T25" s="98"/>
      <c r="U25" s="98"/>
      <c r="V25" s="98"/>
      <c r="W25" s="98"/>
      <c r="X25" s="101" t="str">
        <f t="shared" si="0"/>
        <v/>
      </c>
      <c r="Y25" s="111">
        <v>2.6</v>
      </c>
      <c r="Z25" s="106" t="str">
        <f t="shared" si="1"/>
        <v/>
      </c>
      <c r="AA25" s="243"/>
      <c r="AB25" s="150" t="s">
        <v>1179</v>
      </c>
      <c r="AC25" s="150" t="s">
        <v>1182</v>
      </c>
      <c r="AD25" s="150" t="s">
        <v>1183</v>
      </c>
      <c r="AE25" s="150" t="s">
        <v>1184</v>
      </c>
      <c r="AF25" s="150" t="s">
        <v>1185</v>
      </c>
      <c r="AG25" s="150" t="s">
        <v>1186</v>
      </c>
    </row>
    <row r="26" spans="1:34" s="107" customFormat="1">
      <c r="A26" s="97">
        <v>94</v>
      </c>
      <c r="B26" s="103" t="s">
        <v>45</v>
      </c>
      <c r="C26" s="103">
        <v>1992</v>
      </c>
      <c r="D26" s="103" t="s">
        <v>276</v>
      </c>
      <c r="E26" s="99" t="s">
        <v>290</v>
      </c>
      <c r="F26" s="98">
        <v>1991</v>
      </c>
      <c r="G26" s="98" t="s">
        <v>279</v>
      </c>
      <c r="H26" s="98" t="s">
        <v>1135</v>
      </c>
      <c r="I26" s="98"/>
      <c r="J26" s="98" t="s">
        <v>1048</v>
      </c>
      <c r="K26" s="98" t="s">
        <v>1136</v>
      </c>
      <c r="L26" s="98" t="s">
        <v>280</v>
      </c>
      <c r="M26" s="98"/>
      <c r="N26" s="98"/>
      <c r="O26" s="98" t="s">
        <v>297</v>
      </c>
      <c r="P26" s="98"/>
      <c r="Q26" s="98"/>
      <c r="R26" s="98"/>
      <c r="S26" s="98"/>
      <c r="T26" s="98"/>
      <c r="U26" s="98"/>
      <c r="V26" s="98"/>
      <c r="W26" s="98"/>
      <c r="X26" s="101" t="str">
        <f t="shared" si="0"/>
        <v/>
      </c>
      <c r="Y26" s="111">
        <v>3.4</v>
      </c>
      <c r="Z26" s="106" t="str">
        <f t="shared" si="1"/>
        <v/>
      </c>
      <c r="AA26" s="150" t="s">
        <v>1348</v>
      </c>
      <c r="AB26" s="151">
        <f>AVERAGE($Y$25:$Y$40)</f>
        <v>8.1687499999999993</v>
      </c>
      <c r="AC26" s="151">
        <f>MEDIAN($Y$25:$Y$40)</f>
        <v>7.15</v>
      </c>
      <c r="AD26" s="151">
        <f>MAX($Y$25:$Y$40)</f>
        <v>21.4</v>
      </c>
      <c r="AE26" s="151">
        <f>MIN($Y$25:$Y$40)</f>
        <v>1.4</v>
      </c>
      <c r="AF26" s="151">
        <f>STDEV($Y$25:$Y$40)</f>
        <v>6.4235731230107973</v>
      </c>
      <c r="AG26" s="150">
        <f>COUNT($Y$25:$Y$40)</f>
        <v>16</v>
      </c>
      <c r="AH26" s="107" t="s">
        <v>1380</v>
      </c>
    </row>
    <row r="27" spans="1:34" s="107" customFormat="1">
      <c r="A27" s="97">
        <v>94</v>
      </c>
      <c r="B27" s="103" t="s">
        <v>45</v>
      </c>
      <c r="C27" s="103">
        <v>1992</v>
      </c>
      <c r="D27" s="103" t="s">
        <v>276</v>
      </c>
      <c r="E27" s="99" t="s">
        <v>290</v>
      </c>
      <c r="F27" s="98">
        <v>1991</v>
      </c>
      <c r="G27" s="98" t="s">
        <v>279</v>
      </c>
      <c r="H27" s="98" t="s">
        <v>1135</v>
      </c>
      <c r="I27" s="98"/>
      <c r="J27" s="98" t="s">
        <v>1048</v>
      </c>
      <c r="K27" s="98" t="s">
        <v>1136</v>
      </c>
      <c r="L27" s="98" t="s">
        <v>280</v>
      </c>
      <c r="M27" s="98"/>
      <c r="N27" s="98"/>
      <c r="O27" s="98" t="s">
        <v>296</v>
      </c>
      <c r="P27" s="98"/>
      <c r="Q27" s="98"/>
      <c r="R27" s="98"/>
      <c r="S27" s="98"/>
      <c r="T27" s="98"/>
      <c r="U27" s="98"/>
      <c r="V27" s="98"/>
      <c r="W27" s="98"/>
      <c r="X27" s="101" t="str">
        <f t="shared" si="0"/>
        <v/>
      </c>
      <c r="Y27" s="111">
        <v>4.4000000000000004</v>
      </c>
      <c r="Z27" s="106" t="str">
        <f t="shared" si="1"/>
        <v/>
      </c>
      <c r="AA27" s="150" t="s">
        <v>1343</v>
      </c>
      <c r="AB27" s="151">
        <f>AVERAGE($Y$32:$Y$34)</f>
        <v>2.1333333333333333</v>
      </c>
      <c r="AC27" s="151">
        <f>MEDIAN($Y$32:$Y$34)</f>
        <v>2.1</v>
      </c>
      <c r="AD27" s="151">
        <f>MAX($Y$32:$Y$34)</f>
        <v>2.9</v>
      </c>
      <c r="AE27" s="151">
        <f>MIN($Y$32:$Y$34)</f>
        <v>1.4</v>
      </c>
      <c r="AF27" s="151">
        <f>STDEV($Y$32:$Y$34)</f>
        <v>0.75055534994651296</v>
      </c>
      <c r="AG27" s="150">
        <f>COUNT($Y$32:$Y$34)</f>
        <v>3</v>
      </c>
    </row>
    <row r="28" spans="1:34" s="107" customFormat="1">
      <c r="A28" s="97">
        <v>94</v>
      </c>
      <c r="B28" s="103" t="s">
        <v>45</v>
      </c>
      <c r="C28" s="103">
        <v>1992</v>
      </c>
      <c r="D28" s="103" t="s">
        <v>276</v>
      </c>
      <c r="E28" s="99" t="s">
        <v>172</v>
      </c>
      <c r="F28" s="98">
        <v>1991</v>
      </c>
      <c r="G28" s="98" t="s">
        <v>279</v>
      </c>
      <c r="H28" s="98" t="s">
        <v>1135</v>
      </c>
      <c r="I28" s="98"/>
      <c r="J28" s="98" t="s">
        <v>1048</v>
      </c>
      <c r="K28" s="98" t="s">
        <v>1136</v>
      </c>
      <c r="L28" s="98" t="s">
        <v>280</v>
      </c>
      <c r="M28" s="98"/>
      <c r="N28" s="98"/>
      <c r="O28" s="98" t="s">
        <v>294</v>
      </c>
      <c r="P28" s="98"/>
      <c r="Q28" s="98"/>
      <c r="R28" s="98"/>
      <c r="S28" s="98"/>
      <c r="T28" s="98"/>
      <c r="U28" s="98"/>
      <c r="V28" s="98"/>
      <c r="W28" s="98"/>
      <c r="X28" s="101" t="str">
        <f t="shared" si="0"/>
        <v/>
      </c>
      <c r="Y28" s="111">
        <v>6.7</v>
      </c>
      <c r="Z28" s="106" t="str">
        <f t="shared" si="1"/>
        <v/>
      </c>
      <c r="AA28" s="150" t="s">
        <v>1344</v>
      </c>
      <c r="AB28" s="151">
        <f>AVERAGE($Y$35:$Y$37)</f>
        <v>7.4333333333333336</v>
      </c>
      <c r="AC28" s="151">
        <f>MEDIAN($Y$35:$Y$37)</f>
        <v>7.9</v>
      </c>
      <c r="AD28" s="151">
        <f>MAX($Y$35:$Y$37)</f>
        <v>8.4</v>
      </c>
      <c r="AE28" s="151">
        <f>MIN($Y$35:$Y$37)</f>
        <v>6</v>
      </c>
      <c r="AF28" s="151">
        <f>STDEV($Y$35:$Y$37)</f>
        <v>1.2662279942148351</v>
      </c>
      <c r="AG28" s="150">
        <f>COUNT($Y$35:$Y$37)</f>
        <v>3</v>
      </c>
    </row>
    <row r="29" spans="1:34" s="107" customFormat="1">
      <c r="A29" s="97">
        <v>94</v>
      </c>
      <c r="B29" s="103" t="s">
        <v>45</v>
      </c>
      <c r="C29" s="103">
        <v>1992</v>
      </c>
      <c r="D29" s="103" t="s">
        <v>276</v>
      </c>
      <c r="E29" s="99" t="s">
        <v>290</v>
      </c>
      <c r="F29" s="98">
        <v>1991</v>
      </c>
      <c r="G29" s="98" t="s">
        <v>279</v>
      </c>
      <c r="H29" s="98" t="s">
        <v>1135</v>
      </c>
      <c r="I29" s="98"/>
      <c r="J29" s="98" t="s">
        <v>1048</v>
      </c>
      <c r="K29" s="98" t="s">
        <v>1136</v>
      </c>
      <c r="L29" s="98" t="s">
        <v>280</v>
      </c>
      <c r="M29" s="98"/>
      <c r="N29" s="98"/>
      <c r="O29" s="98" t="s">
        <v>293</v>
      </c>
      <c r="P29" s="98"/>
      <c r="Q29" s="98"/>
      <c r="R29" s="98"/>
      <c r="S29" s="98"/>
      <c r="T29" s="98"/>
      <c r="U29" s="98"/>
      <c r="V29" s="98"/>
      <c r="W29" s="98"/>
      <c r="X29" s="101" t="str">
        <f t="shared" si="0"/>
        <v/>
      </c>
      <c r="Y29" s="111">
        <v>7.6</v>
      </c>
      <c r="Z29" s="106" t="str">
        <f t="shared" si="1"/>
        <v/>
      </c>
      <c r="AA29" s="150" t="s">
        <v>1379</v>
      </c>
      <c r="AB29" s="151">
        <f>AVERAGE($Y$38:$Y$40)</f>
        <v>20.033333333333335</v>
      </c>
      <c r="AC29" s="151">
        <f>MEDIAN($Y$38:$Y$40)</f>
        <v>21.3</v>
      </c>
      <c r="AD29" s="151">
        <f>MAX($Y$38:$Y$40)</f>
        <v>21.4</v>
      </c>
      <c r="AE29" s="151">
        <f>MIN($Y$38:$Y$40)</f>
        <v>17.399999999999999</v>
      </c>
      <c r="AF29" s="151">
        <f>STDEV($Y$38:$Y$40)</f>
        <v>2.2810816147900836</v>
      </c>
      <c r="AG29" s="150">
        <f>COUNT($Y$38:$Y$40)</f>
        <v>3</v>
      </c>
    </row>
    <row r="30" spans="1:34" s="107" customFormat="1">
      <c r="A30" s="97">
        <v>94</v>
      </c>
      <c r="B30" s="103" t="s">
        <v>45</v>
      </c>
      <c r="C30" s="103">
        <v>1992</v>
      </c>
      <c r="D30" s="103" t="s">
        <v>276</v>
      </c>
      <c r="E30" s="99" t="s">
        <v>290</v>
      </c>
      <c r="F30" s="98">
        <v>1991</v>
      </c>
      <c r="G30" s="98" t="s">
        <v>279</v>
      </c>
      <c r="H30" s="98" t="s">
        <v>1135</v>
      </c>
      <c r="I30" s="98"/>
      <c r="J30" s="98" t="s">
        <v>1048</v>
      </c>
      <c r="K30" s="98" t="s">
        <v>1136</v>
      </c>
      <c r="L30" s="98" t="s">
        <v>280</v>
      </c>
      <c r="M30" s="98"/>
      <c r="N30" s="98"/>
      <c r="O30" s="98" t="s">
        <v>291</v>
      </c>
      <c r="P30" s="98"/>
      <c r="Q30" s="98"/>
      <c r="R30" s="98"/>
      <c r="S30" s="98"/>
      <c r="T30" s="98"/>
      <c r="U30" s="98"/>
      <c r="V30" s="98"/>
      <c r="W30" s="98"/>
      <c r="X30" s="101" t="str">
        <f t="shared" si="0"/>
        <v/>
      </c>
      <c r="Y30" s="111">
        <v>8.3000000000000007</v>
      </c>
      <c r="Z30" s="106" t="str">
        <f t="shared" si="1"/>
        <v/>
      </c>
    </row>
    <row r="31" spans="1:34" s="107" customFormat="1">
      <c r="A31" s="97">
        <v>94</v>
      </c>
      <c r="B31" s="103" t="s">
        <v>45</v>
      </c>
      <c r="C31" s="103">
        <v>1992</v>
      </c>
      <c r="D31" s="103" t="s">
        <v>276</v>
      </c>
      <c r="E31" s="99" t="s">
        <v>290</v>
      </c>
      <c r="F31" s="98">
        <v>1991</v>
      </c>
      <c r="G31" s="98" t="s">
        <v>279</v>
      </c>
      <c r="H31" s="98" t="s">
        <v>1135</v>
      </c>
      <c r="I31" s="98"/>
      <c r="J31" s="98" t="s">
        <v>1048</v>
      </c>
      <c r="K31" s="98" t="s">
        <v>1136</v>
      </c>
      <c r="L31" s="98" t="s">
        <v>280</v>
      </c>
      <c r="M31" s="98"/>
      <c r="N31" s="98"/>
      <c r="O31" s="98" t="s">
        <v>292</v>
      </c>
      <c r="P31" s="98"/>
      <c r="Q31" s="98"/>
      <c r="R31" s="98"/>
      <c r="S31" s="98"/>
      <c r="T31" s="98"/>
      <c r="U31" s="98"/>
      <c r="V31" s="98"/>
      <c r="W31" s="98"/>
      <c r="X31" s="101" t="str">
        <f t="shared" si="0"/>
        <v/>
      </c>
      <c r="Y31" s="111">
        <v>8.9</v>
      </c>
      <c r="Z31" s="106" t="str">
        <f t="shared" si="1"/>
        <v/>
      </c>
    </row>
    <row r="32" spans="1:34" s="107" customFormat="1">
      <c r="A32" s="97">
        <v>94</v>
      </c>
      <c r="B32" s="103" t="s">
        <v>45</v>
      </c>
      <c r="C32" s="103">
        <v>1992</v>
      </c>
      <c r="D32" s="103" t="s">
        <v>276</v>
      </c>
      <c r="E32" s="99" t="s">
        <v>49</v>
      </c>
      <c r="F32" s="98">
        <v>1991</v>
      </c>
      <c r="G32" s="98" t="s">
        <v>279</v>
      </c>
      <c r="H32" s="98" t="s">
        <v>1135</v>
      </c>
      <c r="I32" s="98"/>
      <c r="J32" s="98" t="s">
        <v>1048</v>
      </c>
      <c r="K32" s="98" t="s">
        <v>1136</v>
      </c>
      <c r="L32" s="98" t="s">
        <v>280</v>
      </c>
      <c r="M32" s="98"/>
      <c r="N32" s="98"/>
      <c r="O32" s="98" t="s">
        <v>284</v>
      </c>
      <c r="P32" s="98"/>
      <c r="Q32" s="98"/>
      <c r="R32" s="98">
        <v>0.96</v>
      </c>
      <c r="S32" s="98"/>
      <c r="T32" s="98"/>
      <c r="U32" s="98"/>
      <c r="V32" s="98"/>
      <c r="W32" s="98"/>
      <c r="X32" s="101">
        <f t="shared" si="0"/>
        <v>0.96</v>
      </c>
      <c r="Y32" s="111">
        <v>1.4</v>
      </c>
      <c r="Z32" s="106" t="str">
        <f t="shared" si="1"/>
        <v>F</v>
      </c>
    </row>
    <row r="33" spans="1:33" s="107" customFormat="1">
      <c r="A33" s="97">
        <v>94</v>
      </c>
      <c r="B33" s="103" t="s">
        <v>45</v>
      </c>
      <c r="C33" s="103">
        <v>1992</v>
      </c>
      <c r="D33" s="103" t="s">
        <v>276</v>
      </c>
      <c r="E33" s="99" t="s">
        <v>49</v>
      </c>
      <c r="F33" s="98">
        <v>1991</v>
      </c>
      <c r="G33" s="98" t="s">
        <v>279</v>
      </c>
      <c r="H33" s="98" t="s">
        <v>1135</v>
      </c>
      <c r="I33" s="98"/>
      <c r="J33" s="98" t="s">
        <v>1048</v>
      </c>
      <c r="K33" s="98" t="s">
        <v>1136</v>
      </c>
      <c r="L33" s="98" t="s">
        <v>280</v>
      </c>
      <c r="M33" s="98"/>
      <c r="N33" s="98"/>
      <c r="O33" s="98" t="s">
        <v>287</v>
      </c>
      <c r="P33" s="98"/>
      <c r="Q33" s="98"/>
      <c r="R33" s="98">
        <v>0.94</v>
      </c>
      <c r="S33" s="98"/>
      <c r="T33" s="98"/>
      <c r="U33" s="98"/>
      <c r="V33" s="98"/>
      <c r="W33" s="98"/>
      <c r="X33" s="101">
        <f t="shared" si="0"/>
        <v>0.94</v>
      </c>
      <c r="Y33" s="111">
        <v>2.1</v>
      </c>
      <c r="Z33" s="106" t="str">
        <f t="shared" si="1"/>
        <v>F</v>
      </c>
    </row>
    <row r="34" spans="1:33" s="107" customFormat="1">
      <c r="A34" s="97">
        <v>94</v>
      </c>
      <c r="B34" s="103" t="s">
        <v>45</v>
      </c>
      <c r="C34" s="103">
        <v>1992</v>
      </c>
      <c r="D34" s="103" t="s">
        <v>276</v>
      </c>
      <c r="E34" s="99" t="s">
        <v>49</v>
      </c>
      <c r="F34" s="98">
        <v>1991</v>
      </c>
      <c r="G34" s="98" t="s">
        <v>279</v>
      </c>
      <c r="H34" s="98" t="s">
        <v>1135</v>
      </c>
      <c r="I34" s="98"/>
      <c r="J34" s="98" t="s">
        <v>1048</v>
      </c>
      <c r="K34" s="98" t="s">
        <v>1136</v>
      </c>
      <c r="L34" s="98" t="s">
        <v>280</v>
      </c>
      <c r="M34" s="98"/>
      <c r="N34" s="98"/>
      <c r="O34" s="98" t="s">
        <v>281</v>
      </c>
      <c r="P34" s="98"/>
      <c r="Q34" s="98"/>
      <c r="R34" s="98">
        <v>0.93</v>
      </c>
      <c r="S34" s="98"/>
      <c r="T34" s="98"/>
      <c r="U34" s="98"/>
      <c r="V34" s="98"/>
      <c r="W34" s="98"/>
      <c r="X34" s="101">
        <f t="shared" si="0"/>
        <v>0.93</v>
      </c>
      <c r="Y34" s="111">
        <v>2.9</v>
      </c>
      <c r="Z34" s="106" t="str">
        <f t="shared" si="1"/>
        <v>F</v>
      </c>
    </row>
    <row r="35" spans="1:33" s="107" customFormat="1">
      <c r="A35" s="97">
        <v>94</v>
      </c>
      <c r="B35" s="103" t="s">
        <v>45</v>
      </c>
      <c r="C35" s="103">
        <v>1992</v>
      </c>
      <c r="D35" s="103" t="s">
        <v>276</v>
      </c>
      <c r="E35" s="99" t="s">
        <v>49</v>
      </c>
      <c r="F35" s="98">
        <v>1991</v>
      </c>
      <c r="G35" s="98" t="s">
        <v>279</v>
      </c>
      <c r="H35" s="98" t="s">
        <v>1135</v>
      </c>
      <c r="I35" s="98"/>
      <c r="J35" s="98" t="s">
        <v>1048</v>
      </c>
      <c r="K35" s="98" t="s">
        <v>1136</v>
      </c>
      <c r="L35" s="98" t="s">
        <v>280</v>
      </c>
      <c r="M35" s="98"/>
      <c r="N35" s="98"/>
      <c r="O35" s="98" t="s">
        <v>282</v>
      </c>
      <c r="P35" s="98"/>
      <c r="Q35" s="98"/>
      <c r="R35" s="98">
        <v>0.87</v>
      </c>
      <c r="S35" s="98"/>
      <c r="T35" s="98"/>
      <c r="U35" s="98"/>
      <c r="V35" s="98"/>
      <c r="W35" s="98"/>
      <c r="X35" s="101">
        <f t="shared" si="0"/>
        <v>0.87</v>
      </c>
      <c r="Y35" s="111">
        <v>6</v>
      </c>
      <c r="Z35" s="106" t="str">
        <f t="shared" si="1"/>
        <v>S</v>
      </c>
    </row>
    <row r="36" spans="1:33" s="107" customFormat="1">
      <c r="A36" s="97">
        <v>94</v>
      </c>
      <c r="B36" s="103" t="s">
        <v>45</v>
      </c>
      <c r="C36" s="103">
        <v>1992</v>
      </c>
      <c r="D36" s="103" t="s">
        <v>276</v>
      </c>
      <c r="E36" s="99" t="s">
        <v>49</v>
      </c>
      <c r="F36" s="98">
        <v>1991</v>
      </c>
      <c r="G36" s="98" t="s">
        <v>279</v>
      </c>
      <c r="H36" s="98" t="s">
        <v>1135</v>
      </c>
      <c r="I36" s="98"/>
      <c r="J36" s="98" t="s">
        <v>1048</v>
      </c>
      <c r="K36" s="98" t="s">
        <v>1136</v>
      </c>
      <c r="L36" s="98" t="s">
        <v>280</v>
      </c>
      <c r="M36" s="98"/>
      <c r="N36" s="98"/>
      <c r="O36" s="98" t="s">
        <v>288</v>
      </c>
      <c r="P36" s="98"/>
      <c r="Q36" s="98"/>
      <c r="R36" s="98">
        <v>0.84</v>
      </c>
      <c r="S36" s="98"/>
      <c r="T36" s="98"/>
      <c r="U36" s="98"/>
      <c r="V36" s="98"/>
      <c r="W36" s="98"/>
      <c r="X36" s="101">
        <f t="shared" si="0"/>
        <v>0.84</v>
      </c>
      <c r="Y36" s="111">
        <v>7.9</v>
      </c>
      <c r="Z36" s="106" t="str">
        <f t="shared" si="1"/>
        <v>S</v>
      </c>
    </row>
    <row r="37" spans="1:33" s="107" customFormat="1">
      <c r="A37" s="97">
        <v>94</v>
      </c>
      <c r="B37" s="103" t="s">
        <v>45</v>
      </c>
      <c r="C37" s="103">
        <v>1992</v>
      </c>
      <c r="D37" s="103" t="s">
        <v>276</v>
      </c>
      <c r="E37" s="99" t="s">
        <v>49</v>
      </c>
      <c r="F37" s="98">
        <v>1991</v>
      </c>
      <c r="G37" s="98" t="s">
        <v>279</v>
      </c>
      <c r="H37" s="98" t="s">
        <v>1135</v>
      </c>
      <c r="I37" s="98"/>
      <c r="J37" s="98" t="s">
        <v>1048</v>
      </c>
      <c r="K37" s="98" t="s">
        <v>1136</v>
      </c>
      <c r="L37" s="98" t="s">
        <v>280</v>
      </c>
      <c r="M37" s="98"/>
      <c r="N37" s="98"/>
      <c r="O37" s="98" t="s">
        <v>285</v>
      </c>
      <c r="P37" s="98"/>
      <c r="Q37" s="98"/>
      <c r="R37" s="98">
        <v>0.83</v>
      </c>
      <c r="S37" s="98"/>
      <c r="T37" s="98"/>
      <c r="U37" s="98"/>
      <c r="V37" s="98"/>
      <c r="W37" s="98"/>
      <c r="X37" s="101">
        <f t="shared" si="0"/>
        <v>0.83</v>
      </c>
      <c r="Y37" s="111">
        <v>8.4</v>
      </c>
      <c r="Z37" s="106" t="str">
        <f t="shared" si="1"/>
        <v>S</v>
      </c>
    </row>
    <row r="38" spans="1:33" s="107" customFormat="1">
      <c r="A38" s="97">
        <v>94</v>
      </c>
      <c r="B38" s="103" t="s">
        <v>45</v>
      </c>
      <c r="C38" s="103">
        <v>1992</v>
      </c>
      <c r="D38" s="103" t="s">
        <v>276</v>
      </c>
      <c r="E38" s="99" t="s">
        <v>49</v>
      </c>
      <c r="F38" s="98">
        <v>1991</v>
      </c>
      <c r="G38" s="98" t="s">
        <v>279</v>
      </c>
      <c r="H38" s="98" t="s">
        <v>1135</v>
      </c>
      <c r="I38" s="98"/>
      <c r="J38" s="98" t="s">
        <v>1048</v>
      </c>
      <c r="K38" s="98" t="s">
        <v>1136</v>
      </c>
      <c r="L38" s="98" t="s">
        <v>280</v>
      </c>
      <c r="M38" s="98"/>
      <c r="N38" s="98"/>
      <c r="O38" s="98" t="s">
        <v>286</v>
      </c>
      <c r="P38" s="98"/>
      <c r="Q38" s="98"/>
      <c r="R38" s="98">
        <v>0.7</v>
      </c>
      <c r="S38" s="98"/>
      <c r="T38" s="98"/>
      <c r="U38" s="98"/>
      <c r="V38" s="98"/>
      <c r="W38" s="98"/>
      <c r="X38" s="101">
        <f t="shared" si="0"/>
        <v>0.7</v>
      </c>
      <c r="Y38" s="111">
        <v>17.399999999999999</v>
      </c>
      <c r="Z38" s="106" t="str">
        <f t="shared" si="1"/>
        <v>S</v>
      </c>
    </row>
    <row r="39" spans="1:33" s="107" customFormat="1">
      <c r="A39" s="97">
        <v>94</v>
      </c>
      <c r="B39" s="103" t="s">
        <v>45</v>
      </c>
      <c r="C39" s="103">
        <v>1992</v>
      </c>
      <c r="D39" s="103" t="s">
        <v>276</v>
      </c>
      <c r="E39" s="99" t="s">
        <v>49</v>
      </c>
      <c r="F39" s="98">
        <v>1991</v>
      </c>
      <c r="G39" s="98" t="s">
        <v>279</v>
      </c>
      <c r="H39" s="98" t="s">
        <v>1135</v>
      </c>
      <c r="I39" s="98"/>
      <c r="J39" s="98" t="s">
        <v>1048</v>
      </c>
      <c r="K39" s="98" t="s">
        <v>1136</v>
      </c>
      <c r="L39" s="98" t="s">
        <v>280</v>
      </c>
      <c r="M39" s="98"/>
      <c r="N39" s="98"/>
      <c r="O39" s="98" t="s">
        <v>289</v>
      </c>
      <c r="P39" s="98"/>
      <c r="Q39" s="98"/>
      <c r="R39" s="98">
        <v>0.69</v>
      </c>
      <c r="S39" s="98"/>
      <c r="T39" s="98"/>
      <c r="U39" s="98"/>
      <c r="V39" s="98"/>
      <c r="W39" s="98"/>
      <c r="X39" s="101">
        <f t="shared" si="0"/>
        <v>0.69</v>
      </c>
      <c r="Y39" s="111">
        <v>21.3</v>
      </c>
      <c r="Z39" s="106" t="str">
        <f t="shared" si="1"/>
        <v>S</v>
      </c>
    </row>
    <row r="40" spans="1:33" s="107" customFormat="1">
      <c r="A40" s="97">
        <v>94</v>
      </c>
      <c r="B40" s="103" t="s">
        <v>45</v>
      </c>
      <c r="C40" s="103">
        <v>1992</v>
      </c>
      <c r="D40" s="103" t="s">
        <v>276</v>
      </c>
      <c r="E40" s="99" t="s">
        <v>49</v>
      </c>
      <c r="F40" s="98">
        <v>1991</v>
      </c>
      <c r="G40" s="98" t="s">
        <v>279</v>
      </c>
      <c r="H40" s="98" t="s">
        <v>1135</v>
      </c>
      <c r="I40" s="98"/>
      <c r="J40" s="98" t="s">
        <v>1048</v>
      </c>
      <c r="K40" s="98" t="s">
        <v>1136</v>
      </c>
      <c r="L40" s="98" t="s">
        <v>280</v>
      </c>
      <c r="M40" s="98"/>
      <c r="N40" s="98"/>
      <c r="O40" s="98" t="s">
        <v>283</v>
      </c>
      <c r="P40" s="98"/>
      <c r="Q40" s="98"/>
      <c r="R40" s="98">
        <v>0.67</v>
      </c>
      <c r="S40" s="98"/>
      <c r="T40" s="98"/>
      <c r="U40" s="98"/>
      <c r="V40" s="98"/>
      <c r="W40" s="98"/>
      <c r="X40" s="101">
        <f t="shared" si="0"/>
        <v>0.67</v>
      </c>
      <c r="Y40" s="111">
        <v>21.4</v>
      </c>
      <c r="Z40" s="106" t="str">
        <f t="shared" si="1"/>
        <v>S</v>
      </c>
    </row>
    <row r="41" spans="1:33">
      <c r="A41" s="53">
        <v>174</v>
      </c>
      <c r="B41" s="54" t="s">
        <v>697</v>
      </c>
      <c r="C41" s="54">
        <v>2009</v>
      </c>
      <c r="D41" s="55" t="s">
        <v>698</v>
      </c>
      <c r="E41" s="56" t="s">
        <v>20</v>
      </c>
      <c r="F41" s="57" t="s">
        <v>701</v>
      </c>
      <c r="G41" s="54"/>
      <c r="H41" s="54"/>
      <c r="I41" s="54"/>
      <c r="J41" s="58" t="s">
        <v>1148</v>
      </c>
      <c r="K41" s="54" t="s">
        <v>1099</v>
      </c>
      <c r="L41" s="54" t="s">
        <v>752</v>
      </c>
      <c r="M41" s="59"/>
      <c r="N41" s="59"/>
      <c r="O41" s="54" t="s">
        <v>752</v>
      </c>
      <c r="P41" s="60"/>
      <c r="Q41" s="60"/>
      <c r="R41" s="54"/>
      <c r="S41" s="54"/>
      <c r="T41" s="54"/>
      <c r="U41" s="61">
        <v>0.96099999999999997</v>
      </c>
      <c r="V41" s="61"/>
      <c r="W41" s="61"/>
      <c r="X41" s="58">
        <f t="shared" si="0"/>
        <v>0.96099999999999997</v>
      </c>
      <c r="Y41" s="62">
        <v>1.8</v>
      </c>
      <c r="Z41" s="63" t="str">
        <f t="shared" si="1"/>
        <v>F</v>
      </c>
    </row>
    <row r="42" spans="1:33" s="118" customFormat="1">
      <c r="A42" s="97">
        <v>181</v>
      </c>
      <c r="B42" s="98" t="s">
        <v>766</v>
      </c>
      <c r="C42" s="98">
        <v>2009</v>
      </c>
      <c r="D42" s="112" t="s">
        <v>767</v>
      </c>
      <c r="E42" s="113" t="s">
        <v>49</v>
      </c>
      <c r="F42" s="114" t="s">
        <v>808</v>
      </c>
      <c r="G42" s="98" t="s">
        <v>858</v>
      </c>
      <c r="H42" s="115" t="s">
        <v>43</v>
      </c>
      <c r="I42" s="115"/>
      <c r="J42" s="115" t="s">
        <v>1018</v>
      </c>
      <c r="K42" s="115" t="s">
        <v>1018</v>
      </c>
      <c r="L42" s="114" t="s">
        <v>791</v>
      </c>
      <c r="M42" s="114" t="s">
        <v>414</v>
      </c>
      <c r="N42" s="114"/>
      <c r="O42" s="114" t="s">
        <v>859</v>
      </c>
      <c r="P42" s="114"/>
      <c r="Q42" s="114"/>
      <c r="R42" s="98"/>
      <c r="S42" s="98"/>
      <c r="T42" s="98"/>
      <c r="U42" s="114">
        <v>0.97</v>
      </c>
      <c r="V42" s="116"/>
      <c r="W42" s="116"/>
      <c r="X42" s="101">
        <f t="shared" si="0"/>
        <v>0.97</v>
      </c>
      <c r="Y42" s="117">
        <v>0.904822236</v>
      </c>
      <c r="Z42" s="106" t="str">
        <f t="shared" si="1"/>
        <v>F</v>
      </c>
      <c r="AA42" s="158"/>
      <c r="AB42" s="158" t="s">
        <v>1179</v>
      </c>
      <c r="AC42" s="150" t="s">
        <v>1182</v>
      </c>
      <c r="AD42" s="150" t="s">
        <v>1183</v>
      </c>
      <c r="AE42" s="150" t="s">
        <v>1184</v>
      </c>
      <c r="AF42" s="150" t="s">
        <v>1185</v>
      </c>
      <c r="AG42" s="150" t="s">
        <v>1186</v>
      </c>
    </row>
    <row r="43" spans="1:33" s="118" customFormat="1">
      <c r="A43" s="97">
        <v>174</v>
      </c>
      <c r="B43" s="98" t="s">
        <v>697</v>
      </c>
      <c r="C43" s="98">
        <v>2009</v>
      </c>
      <c r="D43" s="108" t="s">
        <v>698</v>
      </c>
      <c r="E43" s="99" t="s">
        <v>20</v>
      </c>
      <c r="F43" s="100" t="s">
        <v>701</v>
      </c>
      <c r="G43" s="98" t="s">
        <v>741</v>
      </c>
      <c r="H43" s="98" t="s">
        <v>741</v>
      </c>
      <c r="I43" s="98"/>
      <c r="J43" s="101" t="s">
        <v>1018</v>
      </c>
      <c r="K43" s="98" t="s">
        <v>1018</v>
      </c>
      <c r="L43" s="98" t="s">
        <v>742</v>
      </c>
      <c r="M43" s="109"/>
      <c r="N43" s="109"/>
      <c r="O43" s="98" t="s">
        <v>743</v>
      </c>
      <c r="P43" s="103"/>
      <c r="Q43" s="103"/>
      <c r="R43" s="98"/>
      <c r="S43" s="98"/>
      <c r="T43" s="98"/>
      <c r="U43" s="104">
        <v>0.96499999999999997</v>
      </c>
      <c r="V43" s="104"/>
      <c r="W43" s="104"/>
      <c r="X43" s="101">
        <f t="shared" si="0"/>
        <v>0.96499999999999997</v>
      </c>
      <c r="Y43" s="110">
        <v>0.6</v>
      </c>
      <c r="Z43" s="106" t="str">
        <f t="shared" si="1"/>
        <v>F</v>
      </c>
      <c r="AA43" s="158" t="s">
        <v>1349</v>
      </c>
      <c r="AB43" s="244">
        <f>AVERAGE($Y$42:$Y$53)</f>
        <v>2.6716790675833333</v>
      </c>
      <c r="AC43" s="244">
        <f>MEDIAN($Y$42:$Y$53)</f>
        <v>2.7610000000000001</v>
      </c>
      <c r="AD43" s="244">
        <f>MAX($Y$42:$Y$53)</f>
        <v>5.4</v>
      </c>
      <c r="AE43" s="244">
        <f>MIN($Y$42:$Y$53)</f>
        <v>0.6</v>
      </c>
      <c r="AF43" s="244">
        <f>STDEV($Y$42:$Y$53)</f>
        <v>1.4064116473219417</v>
      </c>
      <c r="AG43" s="245">
        <f>COUNT($Y$42:$Y$53)</f>
        <v>12</v>
      </c>
    </row>
    <row r="44" spans="1:33" s="118" customFormat="1">
      <c r="A44" s="97">
        <v>181</v>
      </c>
      <c r="B44" s="98" t="s">
        <v>766</v>
      </c>
      <c r="C44" s="98">
        <v>2009</v>
      </c>
      <c r="D44" s="112" t="s">
        <v>767</v>
      </c>
      <c r="E44" s="113" t="s">
        <v>49</v>
      </c>
      <c r="F44" s="114" t="s">
        <v>808</v>
      </c>
      <c r="G44" s="98" t="s">
        <v>869</v>
      </c>
      <c r="H44" s="115" t="s">
        <v>43</v>
      </c>
      <c r="I44" s="115"/>
      <c r="J44" s="115" t="s">
        <v>1018</v>
      </c>
      <c r="K44" s="115" t="s">
        <v>1149</v>
      </c>
      <c r="L44" s="114" t="s">
        <v>791</v>
      </c>
      <c r="M44" s="114" t="s">
        <v>872</v>
      </c>
      <c r="N44" s="114"/>
      <c r="O44" s="114" t="s">
        <v>873</v>
      </c>
      <c r="P44" s="114"/>
      <c r="Q44" s="114"/>
      <c r="R44" s="98"/>
      <c r="S44" s="98"/>
      <c r="T44" s="98"/>
      <c r="U44" s="114">
        <v>0.96099999999999997</v>
      </c>
      <c r="V44" s="116"/>
      <c r="W44" s="116"/>
      <c r="X44" s="101">
        <f t="shared" si="0"/>
        <v>0.96099999999999997</v>
      </c>
      <c r="Y44" s="117">
        <v>1.54</v>
      </c>
      <c r="Z44" s="106" t="str">
        <f t="shared" si="1"/>
        <v>F</v>
      </c>
      <c r="AA44" s="244" t="s">
        <v>1350</v>
      </c>
      <c r="AB44" s="244">
        <f>AVERAGE($Y$42:$Y$52)</f>
        <v>2.4236498919090907</v>
      </c>
      <c r="AC44" s="244">
        <f>MEDIAN($Y$42:$Y$52)</f>
        <v>2.27</v>
      </c>
      <c r="AD44" s="244">
        <f>MAX($Y$42:$Y$52)</f>
        <v>4.1202680650000003</v>
      </c>
      <c r="AE44" s="244">
        <f>MIN($Y$42:$Y$52)</f>
        <v>0.6</v>
      </c>
      <c r="AF44" s="244">
        <f>STDEV($Y$42:$Y$52)</f>
        <v>1.1677967561543383</v>
      </c>
      <c r="AG44" s="245">
        <f>COUNT($Y$42:$Y$52)</f>
        <v>11</v>
      </c>
    </row>
    <row r="45" spans="1:33" s="118" customFormat="1">
      <c r="A45" s="97">
        <v>174</v>
      </c>
      <c r="B45" s="98" t="s">
        <v>697</v>
      </c>
      <c r="C45" s="98">
        <v>2009</v>
      </c>
      <c r="D45" s="108" t="s">
        <v>698</v>
      </c>
      <c r="E45" s="99" t="s">
        <v>20</v>
      </c>
      <c r="F45" s="100" t="s">
        <v>701</v>
      </c>
      <c r="G45" s="98" t="s">
        <v>710</v>
      </c>
      <c r="H45" s="98" t="s">
        <v>42</v>
      </c>
      <c r="I45" s="98"/>
      <c r="J45" s="101" t="s">
        <v>1018</v>
      </c>
      <c r="K45" s="98" t="s">
        <v>1086</v>
      </c>
      <c r="L45" s="98" t="s">
        <v>711</v>
      </c>
      <c r="M45" s="109"/>
      <c r="N45" s="109"/>
      <c r="O45" s="98" t="s">
        <v>711</v>
      </c>
      <c r="P45" s="103"/>
      <c r="Q45" s="103"/>
      <c r="R45" s="98"/>
      <c r="S45" s="98"/>
      <c r="T45" s="98"/>
      <c r="U45" s="104">
        <v>0.95699999999999996</v>
      </c>
      <c r="V45" s="104"/>
      <c r="W45" s="104"/>
      <c r="X45" s="101">
        <f t="shared" si="0"/>
        <v>0.95699999999999996</v>
      </c>
      <c r="Y45" s="110">
        <v>1.6</v>
      </c>
      <c r="Z45" s="106" t="str">
        <f t="shared" si="1"/>
        <v>F</v>
      </c>
      <c r="AA45" s="158" t="s">
        <v>1351</v>
      </c>
      <c r="AB45" s="244">
        <f>+$Y$53</f>
        <v>5.4</v>
      </c>
      <c r="AC45" s="151"/>
      <c r="AD45" s="151"/>
      <c r="AE45" s="244"/>
      <c r="AF45" s="151"/>
      <c r="AG45" s="245">
        <f>COUNT($Y$53)</f>
        <v>1</v>
      </c>
    </row>
    <row r="46" spans="1:33" s="118" customFormat="1">
      <c r="A46" s="97">
        <v>181</v>
      </c>
      <c r="B46" s="98" t="s">
        <v>766</v>
      </c>
      <c r="C46" s="98">
        <v>2009</v>
      </c>
      <c r="D46" s="112" t="s">
        <v>767</v>
      </c>
      <c r="E46" s="112" t="s">
        <v>49</v>
      </c>
      <c r="F46" s="119" t="s">
        <v>793</v>
      </c>
      <c r="G46" s="98" t="s">
        <v>860</v>
      </c>
      <c r="H46" s="108" t="s">
        <v>38</v>
      </c>
      <c r="I46" s="108"/>
      <c r="J46" s="108" t="s">
        <v>1018</v>
      </c>
      <c r="K46" s="108" t="s">
        <v>1150</v>
      </c>
      <c r="L46" s="119" t="s">
        <v>496</v>
      </c>
      <c r="M46" s="119" t="s">
        <v>811</v>
      </c>
      <c r="N46" s="119"/>
      <c r="O46" s="119" t="s">
        <v>861</v>
      </c>
      <c r="P46" s="119"/>
      <c r="Q46" s="119"/>
      <c r="R46" s="98"/>
      <c r="S46" s="98"/>
      <c r="T46" s="98"/>
      <c r="U46" s="119">
        <v>0.93600000000000005</v>
      </c>
      <c r="V46" s="120"/>
      <c r="W46" s="120"/>
      <c r="X46" s="101">
        <f t="shared" si="0"/>
        <v>0.93600000000000005</v>
      </c>
      <c r="Y46" s="121">
        <v>2.1627818790000002</v>
      </c>
      <c r="Z46" s="106" t="str">
        <f t="shared" si="1"/>
        <v>F</v>
      </c>
      <c r="AA46" s="107"/>
      <c r="AB46" s="107"/>
    </row>
    <row r="47" spans="1:33" s="118" customFormat="1">
      <c r="A47" s="97">
        <v>181</v>
      </c>
      <c r="B47" s="98" t="s">
        <v>766</v>
      </c>
      <c r="C47" s="98">
        <v>2009</v>
      </c>
      <c r="D47" s="112" t="s">
        <v>767</v>
      </c>
      <c r="E47" s="113" t="s">
        <v>49</v>
      </c>
      <c r="F47" s="114" t="s">
        <v>808</v>
      </c>
      <c r="G47" s="98" t="s">
        <v>869</v>
      </c>
      <c r="H47" s="115" t="s">
        <v>43</v>
      </c>
      <c r="I47" s="115"/>
      <c r="J47" s="115" t="s">
        <v>1018</v>
      </c>
      <c r="K47" s="115" t="s">
        <v>1102</v>
      </c>
      <c r="L47" s="114" t="s">
        <v>791</v>
      </c>
      <c r="M47" s="114" t="s">
        <v>863</v>
      </c>
      <c r="N47" s="114"/>
      <c r="O47" s="114" t="s">
        <v>870</v>
      </c>
      <c r="P47" s="114"/>
      <c r="Q47" s="114"/>
      <c r="R47" s="98"/>
      <c r="S47" s="98"/>
      <c r="T47" s="98"/>
      <c r="U47" s="114">
        <v>0.93600000000000005</v>
      </c>
      <c r="V47" s="116"/>
      <c r="W47" s="116"/>
      <c r="X47" s="101">
        <f t="shared" si="0"/>
        <v>0.93600000000000005</v>
      </c>
      <c r="Y47" s="117">
        <v>2.27</v>
      </c>
      <c r="Z47" s="106" t="str">
        <f t="shared" si="1"/>
        <v>F</v>
      </c>
      <c r="AA47" s="107"/>
      <c r="AB47" s="107"/>
      <c r="AC47" s="107"/>
      <c r="AD47" s="107"/>
    </row>
    <row r="48" spans="1:33" s="118" customFormat="1">
      <c r="A48" s="97">
        <v>172</v>
      </c>
      <c r="B48" s="98" t="s">
        <v>585</v>
      </c>
      <c r="C48" s="98">
        <v>2010</v>
      </c>
      <c r="D48" s="98" t="s">
        <v>586</v>
      </c>
      <c r="E48" s="99" t="s">
        <v>589</v>
      </c>
      <c r="F48" s="100">
        <v>40228</v>
      </c>
      <c r="G48" s="98" t="s">
        <v>495</v>
      </c>
      <c r="H48" s="98" t="s">
        <v>41</v>
      </c>
      <c r="I48" s="98"/>
      <c r="J48" s="101" t="s">
        <v>1018</v>
      </c>
      <c r="K48" s="98" t="s">
        <v>1070</v>
      </c>
      <c r="L48" s="98" t="s">
        <v>618</v>
      </c>
      <c r="M48" s="102"/>
      <c r="N48" s="102"/>
      <c r="O48" s="98"/>
      <c r="P48" s="103"/>
      <c r="Q48" s="103"/>
      <c r="R48" s="98"/>
      <c r="S48" s="98"/>
      <c r="T48" s="98"/>
      <c r="U48" s="103">
        <v>0.93400000000000005</v>
      </c>
      <c r="V48" s="104"/>
      <c r="W48" s="104"/>
      <c r="X48" s="101">
        <f t="shared" si="0"/>
        <v>0.93400000000000005</v>
      </c>
      <c r="Y48" s="105">
        <v>3.2519999999999998</v>
      </c>
      <c r="Z48" s="106" t="str">
        <f t="shared" si="1"/>
        <v>F</v>
      </c>
      <c r="AA48" s="107"/>
      <c r="AB48" s="107"/>
    </row>
    <row r="49" spans="1:33" s="107" customFormat="1">
      <c r="A49" s="97">
        <v>172</v>
      </c>
      <c r="B49" s="98" t="s">
        <v>585</v>
      </c>
      <c r="C49" s="98">
        <v>2010</v>
      </c>
      <c r="D49" s="98" t="s">
        <v>586</v>
      </c>
      <c r="E49" s="99" t="s">
        <v>589</v>
      </c>
      <c r="F49" s="100">
        <v>40229</v>
      </c>
      <c r="G49" s="98" t="s">
        <v>495</v>
      </c>
      <c r="H49" s="98" t="s">
        <v>41</v>
      </c>
      <c r="I49" s="98"/>
      <c r="J49" s="101" t="s">
        <v>1018</v>
      </c>
      <c r="K49" s="98" t="s">
        <v>1070</v>
      </c>
      <c r="L49" s="98" t="s">
        <v>619</v>
      </c>
      <c r="M49" s="102"/>
      <c r="N49" s="102"/>
      <c r="O49" s="98"/>
      <c r="P49" s="103"/>
      <c r="Q49" s="103"/>
      <c r="R49" s="98"/>
      <c r="S49" s="98"/>
      <c r="T49" s="98"/>
      <c r="U49" s="103">
        <v>0.92700000000000005</v>
      </c>
      <c r="V49" s="104"/>
      <c r="W49" s="104"/>
      <c r="X49" s="101">
        <f t="shared" si="0"/>
        <v>0.92700000000000005</v>
      </c>
      <c r="Y49" s="105">
        <v>3.4740000000000002</v>
      </c>
      <c r="Z49" s="106" t="str">
        <f t="shared" si="1"/>
        <v>F</v>
      </c>
      <c r="AC49" s="118"/>
      <c r="AD49" s="118"/>
    </row>
    <row r="50" spans="1:33" s="107" customFormat="1">
      <c r="A50" s="97">
        <v>181</v>
      </c>
      <c r="B50" s="98" t="s">
        <v>766</v>
      </c>
      <c r="C50" s="98">
        <v>2009</v>
      </c>
      <c r="D50" s="112" t="s">
        <v>767</v>
      </c>
      <c r="E50" s="112" t="s">
        <v>49</v>
      </c>
      <c r="F50" s="119" t="s">
        <v>808</v>
      </c>
      <c r="G50" s="98" t="s">
        <v>862</v>
      </c>
      <c r="H50" s="108" t="s">
        <v>43</v>
      </c>
      <c r="I50" s="108"/>
      <c r="J50" s="108" t="s">
        <v>1018</v>
      </c>
      <c r="K50" s="108" t="s">
        <v>1102</v>
      </c>
      <c r="L50" s="119" t="s">
        <v>791</v>
      </c>
      <c r="M50" s="119" t="s">
        <v>863</v>
      </c>
      <c r="N50" s="119"/>
      <c r="O50" s="119" t="s">
        <v>864</v>
      </c>
      <c r="P50" s="119"/>
      <c r="Q50" s="119"/>
      <c r="R50" s="98"/>
      <c r="S50" s="98"/>
      <c r="T50" s="98"/>
      <c r="U50" s="119">
        <v>0.91400000000000003</v>
      </c>
      <c r="V50" s="120"/>
      <c r="W50" s="120"/>
      <c r="X50" s="101">
        <f t="shared" si="0"/>
        <v>0.91400000000000003</v>
      </c>
      <c r="Y50" s="121">
        <v>4.1202680650000003</v>
      </c>
      <c r="Z50" s="106" t="str">
        <f t="shared" si="1"/>
        <v>F</v>
      </c>
    </row>
    <row r="51" spans="1:33" s="107" customFormat="1">
      <c r="A51" s="97">
        <v>181</v>
      </c>
      <c r="B51" s="98" t="s">
        <v>766</v>
      </c>
      <c r="C51" s="98">
        <v>2009</v>
      </c>
      <c r="D51" s="112" t="s">
        <v>767</v>
      </c>
      <c r="E51" s="112" t="s">
        <v>49</v>
      </c>
      <c r="F51" s="119" t="s">
        <v>793</v>
      </c>
      <c r="G51" s="98" t="s">
        <v>804</v>
      </c>
      <c r="H51" s="108" t="s">
        <v>38</v>
      </c>
      <c r="I51" s="108"/>
      <c r="J51" s="108" t="s">
        <v>1018</v>
      </c>
      <c r="K51" s="108" t="s">
        <v>1150</v>
      </c>
      <c r="L51" s="119" t="s">
        <v>496</v>
      </c>
      <c r="M51" s="119" t="s">
        <v>811</v>
      </c>
      <c r="N51" s="119"/>
      <c r="O51" s="119" t="s">
        <v>812</v>
      </c>
      <c r="P51" s="119"/>
      <c r="Q51" s="119"/>
      <c r="R51" s="98"/>
      <c r="S51" s="98"/>
      <c r="T51" s="98"/>
      <c r="U51" s="119">
        <v>0.91200000000000003</v>
      </c>
      <c r="V51" s="120"/>
      <c r="W51" s="120"/>
      <c r="X51" s="101">
        <f t="shared" si="0"/>
        <v>0.91200000000000003</v>
      </c>
      <c r="Y51" s="121">
        <v>3.336276631</v>
      </c>
      <c r="Z51" s="106" t="str">
        <f t="shared" si="1"/>
        <v>F</v>
      </c>
      <c r="AA51" s="118"/>
      <c r="AB51" s="136"/>
      <c r="AC51" s="118"/>
      <c r="AD51" s="118"/>
    </row>
    <row r="52" spans="1:33" s="107" customFormat="1">
      <c r="A52" s="97">
        <v>174</v>
      </c>
      <c r="B52" s="98" t="s">
        <v>697</v>
      </c>
      <c r="C52" s="98">
        <v>2009</v>
      </c>
      <c r="D52" s="108" t="s">
        <v>698</v>
      </c>
      <c r="E52" s="99" t="s">
        <v>20</v>
      </c>
      <c r="F52" s="100" t="s">
        <v>701</v>
      </c>
      <c r="G52" s="98" t="s">
        <v>716</v>
      </c>
      <c r="H52" s="98" t="s">
        <v>42</v>
      </c>
      <c r="I52" s="98"/>
      <c r="J52" s="101" t="s">
        <v>1018</v>
      </c>
      <c r="K52" s="98" t="s">
        <v>1102</v>
      </c>
      <c r="L52" s="98" t="s">
        <v>717</v>
      </c>
      <c r="M52" s="109"/>
      <c r="N52" s="109"/>
      <c r="O52" s="98" t="s">
        <v>87</v>
      </c>
      <c r="P52" s="103"/>
      <c r="Q52" s="103"/>
      <c r="R52" s="98"/>
      <c r="S52" s="98"/>
      <c r="T52" s="98"/>
      <c r="U52" s="104">
        <v>0.9</v>
      </c>
      <c r="V52" s="104"/>
      <c r="W52" s="104"/>
      <c r="X52" s="101">
        <f t="shared" si="0"/>
        <v>0.9</v>
      </c>
      <c r="Y52" s="110">
        <v>3.4</v>
      </c>
      <c r="Z52" s="106" t="str">
        <f t="shared" si="1"/>
        <v>F</v>
      </c>
    </row>
    <row r="53" spans="1:33" s="107" customFormat="1">
      <c r="A53" s="97">
        <v>174</v>
      </c>
      <c r="B53" s="98" t="s">
        <v>697</v>
      </c>
      <c r="C53" s="98">
        <v>2009</v>
      </c>
      <c r="D53" s="108" t="s">
        <v>698</v>
      </c>
      <c r="E53" s="99" t="s">
        <v>20</v>
      </c>
      <c r="F53" s="100" t="s">
        <v>701</v>
      </c>
      <c r="G53" s="98" t="s">
        <v>706</v>
      </c>
      <c r="H53" s="98" t="s">
        <v>43</v>
      </c>
      <c r="I53" s="98"/>
      <c r="J53" s="101" t="s">
        <v>1018</v>
      </c>
      <c r="K53" s="98" t="s">
        <v>1083</v>
      </c>
      <c r="L53" s="98" t="s">
        <v>707</v>
      </c>
      <c r="M53" s="109"/>
      <c r="N53" s="109"/>
      <c r="O53" s="98" t="s">
        <v>707</v>
      </c>
      <c r="P53" s="103"/>
      <c r="Q53" s="103"/>
      <c r="R53" s="98"/>
      <c r="S53" s="98"/>
      <c r="T53" s="98"/>
      <c r="U53" s="104">
        <v>0.89100000000000001</v>
      </c>
      <c r="V53" s="104"/>
      <c r="W53" s="104"/>
      <c r="X53" s="101">
        <f t="shared" si="0"/>
        <v>0.89100000000000001</v>
      </c>
      <c r="Y53" s="110">
        <v>5.4</v>
      </c>
      <c r="Z53" s="106" t="str">
        <f t="shared" si="1"/>
        <v>S</v>
      </c>
      <c r="AA53" s="118"/>
      <c r="AB53" s="136"/>
      <c r="AC53" s="118"/>
      <c r="AD53" s="118"/>
    </row>
    <row r="54" spans="1:33">
      <c r="A54" s="53">
        <v>172</v>
      </c>
      <c r="B54" s="54" t="s">
        <v>585</v>
      </c>
      <c r="C54" s="54">
        <v>2010</v>
      </c>
      <c r="D54" s="54" t="s">
        <v>586</v>
      </c>
      <c r="E54" s="56" t="s">
        <v>589</v>
      </c>
      <c r="F54" s="57">
        <v>40231</v>
      </c>
      <c r="G54" s="54" t="s">
        <v>495</v>
      </c>
      <c r="H54" s="54" t="s">
        <v>41</v>
      </c>
      <c r="I54" s="54"/>
      <c r="J54" s="66" t="s">
        <v>1073</v>
      </c>
      <c r="K54" s="54" t="s">
        <v>1075</v>
      </c>
      <c r="L54" s="54" t="s">
        <v>623</v>
      </c>
      <c r="M54" s="88" t="s">
        <v>624</v>
      </c>
      <c r="N54" s="88" t="s">
        <v>625</v>
      </c>
      <c r="O54" s="54"/>
      <c r="P54" s="60"/>
      <c r="Q54" s="60"/>
      <c r="R54" s="54"/>
      <c r="S54" s="54"/>
      <c r="T54" s="54"/>
      <c r="U54" s="60">
        <v>0.95899999999999996</v>
      </c>
      <c r="V54" s="61"/>
      <c r="W54" s="61"/>
      <c r="X54" s="58">
        <f t="shared" si="0"/>
        <v>0.95899999999999996</v>
      </c>
      <c r="Y54" s="89">
        <v>1.5529999999999999</v>
      </c>
      <c r="Z54" s="63" t="str">
        <f t="shared" si="1"/>
        <v>F</v>
      </c>
      <c r="AA54" s="152"/>
      <c r="AB54" s="152" t="s">
        <v>1179</v>
      </c>
      <c r="AC54" s="152" t="s">
        <v>1182</v>
      </c>
      <c r="AD54" s="152" t="s">
        <v>1183</v>
      </c>
      <c r="AE54" s="152" t="s">
        <v>1184</v>
      </c>
      <c r="AF54" s="152" t="s">
        <v>1185</v>
      </c>
      <c r="AG54" s="152" t="s">
        <v>1186</v>
      </c>
    </row>
    <row r="55" spans="1:33">
      <c r="A55" s="53">
        <v>172</v>
      </c>
      <c r="B55" s="54" t="s">
        <v>585</v>
      </c>
      <c r="C55" s="54">
        <v>2010</v>
      </c>
      <c r="D55" s="54" t="s">
        <v>586</v>
      </c>
      <c r="E55" s="56" t="s">
        <v>589</v>
      </c>
      <c r="F55" s="57">
        <v>40232</v>
      </c>
      <c r="G55" s="54" t="s">
        <v>495</v>
      </c>
      <c r="H55" s="54" t="s">
        <v>41</v>
      </c>
      <c r="I55" s="54"/>
      <c r="J55" s="66" t="s">
        <v>1073</v>
      </c>
      <c r="K55" s="54" t="s">
        <v>1074</v>
      </c>
      <c r="L55" s="54" t="s">
        <v>626</v>
      </c>
      <c r="M55" s="88" t="s">
        <v>627</v>
      </c>
      <c r="N55" s="88" t="s">
        <v>628</v>
      </c>
      <c r="O55" s="54"/>
      <c r="P55" s="60"/>
      <c r="Q55" s="60"/>
      <c r="R55" s="54"/>
      <c r="S55" s="54"/>
      <c r="T55" s="54"/>
      <c r="U55" s="60">
        <v>0.95399999999999996</v>
      </c>
      <c r="V55" s="61"/>
      <c r="W55" s="61"/>
      <c r="X55" s="58">
        <f t="shared" si="0"/>
        <v>0.95399999999999996</v>
      </c>
      <c r="Y55" s="89">
        <v>1.3520000000000001</v>
      </c>
      <c r="Z55" s="63" t="str">
        <f t="shared" si="1"/>
        <v>F</v>
      </c>
      <c r="AA55" s="152" t="s">
        <v>1352</v>
      </c>
      <c r="AB55" s="155">
        <f>AVERAGE($Y$54:$Y$61)</f>
        <v>2.4203599255000006</v>
      </c>
      <c r="AC55" s="155">
        <f>MEDIAN($Y$54:$Y$61)</f>
        <v>1.9504352425000002</v>
      </c>
      <c r="AD55" s="155">
        <f>MAX($Y$54:$Y$61)</f>
        <v>5.9</v>
      </c>
      <c r="AE55" s="155">
        <f>MIN($Y$54:$Y$61)</f>
        <v>1.3520000000000001</v>
      </c>
      <c r="AF55" s="155">
        <f>STDEV($Y$54:$Y$61)</f>
        <v>1.4709840318430283</v>
      </c>
      <c r="AG55" s="242">
        <f>COUNT($Y$54:$Y$61)</f>
        <v>8</v>
      </c>
    </row>
    <row r="56" spans="1:33">
      <c r="A56" s="53">
        <v>174</v>
      </c>
      <c r="B56" s="54" t="s">
        <v>697</v>
      </c>
      <c r="C56" s="54">
        <v>2009</v>
      </c>
      <c r="D56" s="55" t="s">
        <v>698</v>
      </c>
      <c r="E56" s="56" t="s">
        <v>20</v>
      </c>
      <c r="F56" s="57" t="s">
        <v>701</v>
      </c>
      <c r="G56" s="54"/>
      <c r="H56" s="54"/>
      <c r="I56" s="54"/>
      <c r="J56" s="58" t="s">
        <v>1073</v>
      </c>
      <c r="K56" s="54" t="s">
        <v>1092</v>
      </c>
      <c r="L56" s="54" t="s">
        <v>724</v>
      </c>
      <c r="M56" s="59"/>
      <c r="N56" s="59"/>
      <c r="O56" s="54" t="s">
        <v>724</v>
      </c>
      <c r="P56" s="60"/>
      <c r="Q56" s="60"/>
      <c r="R56" s="54"/>
      <c r="S56" s="54"/>
      <c r="T56" s="54"/>
      <c r="U56" s="61">
        <v>0.94299999999999995</v>
      </c>
      <c r="V56" s="61"/>
      <c r="W56" s="61"/>
      <c r="X56" s="58">
        <f t="shared" si="0"/>
        <v>0.94299999999999995</v>
      </c>
      <c r="Y56" s="62">
        <v>1.7</v>
      </c>
      <c r="Z56" s="63" t="str">
        <f t="shared" si="1"/>
        <v>F</v>
      </c>
      <c r="AA56" s="152" t="s">
        <v>1354</v>
      </c>
      <c r="AB56" s="155">
        <f>AVERAGE($Y$54:$Y$60)</f>
        <v>1.9232684862857146</v>
      </c>
      <c r="AC56" s="155">
        <f>MEDIAN($Y$54:$Y$60)</f>
        <v>1.751063762</v>
      </c>
      <c r="AD56" s="155">
        <f>MAX($Y$54:$Y$60)</f>
        <v>2.7</v>
      </c>
      <c r="AE56" s="155">
        <f>MIN($Y$54:$Y$60)</f>
        <v>1.3520000000000001</v>
      </c>
      <c r="AF56" s="155">
        <f>STDEV($Y$54:$Y$60)</f>
        <v>0.46707669122478018</v>
      </c>
      <c r="AG56" s="242">
        <f>COUNT($Y$54:$Y$60)</f>
        <v>7</v>
      </c>
    </row>
    <row r="57" spans="1:33">
      <c r="A57" s="53">
        <v>181</v>
      </c>
      <c r="B57" s="54" t="s">
        <v>766</v>
      </c>
      <c r="C57" s="54">
        <v>2009</v>
      </c>
      <c r="D57" s="83" t="s">
        <v>767</v>
      </c>
      <c r="E57" s="90" t="s">
        <v>49</v>
      </c>
      <c r="F57" s="79" t="s">
        <v>808</v>
      </c>
      <c r="G57" s="54" t="s">
        <v>817</v>
      </c>
      <c r="H57" s="78" t="s">
        <v>38</v>
      </c>
      <c r="I57" s="78"/>
      <c r="J57" s="78" t="s">
        <v>1073</v>
      </c>
      <c r="K57" s="78" t="s">
        <v>1104</v>
      </c>
      <c r="L57" s="79" t="s">
        <v>496</v>
      </c>
      <c r="M57" s="79" t="s">
        <v>818</v>
      </c>
      <c r="N57" s="79"/>
      <c r="O57" s="79" t="s">
        <v>824</v>
      </c>
      <c r="P57" s="79"/>
      <c r="Q57" s="79"/>
      <c r="R57" s="54"/>
      <c r="S57" s="54"/>
      <c r="T57" s="54"/>
      <c r="U57" s="79">
        <v>0.94199999999999995</v>
      </c>
      <c r="V57" s="81"/>
      <c r="W57" s="81"/>
      <c r="X57" s="58">
        <f t="shared" si="0"/>
        <v>0.94199999999999995</v>
      </c>
      <c r="Y57" s="82">
        <v>1.751063762</v>
      </c>
      <c r="Z57" s="63" t="str">
        <f t="shared" si="1"/>
        <v>F</v>
      </c>
      <c r="AA57" s="152" t="s">
        <v>1353</v>
      </c>
      <c r="AB57" s="155">
        <f>+$Y$61</f>
        <v>5.9</v>
      </c>
      <c r="AC57" s="155"/>
      <c r="AD57" s="155"/>
      <c r="AE57" s="155"/>
      <c r="AF57" s="155"/>
      <c r="AG57" s="242">
        <f>COUNT($Y$61)</f>
        <v>1</v>
      </c>
    </row>
    <row r="58" spans="1:33">
      <c r="A58" s="53">
        <v>174</v>
      </c>
      <c r="B58" s="54" t="s">
        <v>697</v>
      </c>
      <c r="C58" s="54">
        <v>2009</v>
      </c>
      <c r="D58" s="55" t="s">
        <v>698</v>
      </c>
      <c r="E58" s="56" t="s">
        <v>20</v>
      </c>
      <c r="F58" s="57" t="s">
        <v>701</v>
      </c>
      <c r="G58" s="54" t="s">
        <v>730</v>
      </c>
      <c r="H58" s="54" t="s">
        <v>41</v>
      </c>
      <c r="I58" s="54"/>
      <c r="J58" s="54" t="s">
        <v>1073</v>
      </c>
      <c r="K58" s="54" t="s">
        <v>1145</v>
      </c>
      <c r="L58" s="54" t="s">
        <v>731</v>
      </c>
      <c r="M58" s="59"/>
      <c r="N58" s="59"/>
      <c r="O58" s="54" t="s">
        <v>731</v>
      </c>
      <c r="P58" s="60"/>
      <c r="Q58" s="60"/>
      <c r="R58" s="54"/>
      <c r="S58" s="54"/>
      <c r="T58" s="54"/>
      <c r="U58" s="61">
        <v>0.93300000000000005</v>
      </c>
      <c r="V58" s="61"/>
      <c r="W58" s="61"/>
      <c r="X58" s="58">
        <f t="shared" si="0"/>
        <v>0.93300000000000005</v>
      </c>
      <c r="Y58" s="62">
        <v>2.7</v>
      </c>
      <c r="Z58" s="63" t="str">
        <f t="shared" si="1"/>
        <v>F</v>
      </c>
    </row>
    <row r="59" spans="1:33">
      <c r="A59" s="53">
        <v>181</v>
      </c>
      <c r="B59" s="54" t="s">
        <v>766</v>
      </c>
      <c r="C59" s="54">
        <v>2009</v>
      </c>
      <c r="D59" s="83" t="s">
        <v>767</v>
      </c>
      <c r="E59" s="84" t="s">
        <v>49</v>
      </c>
      <c r="F59" s="85" t="s">
        <v>808</v>
      </c>
      <c r="G59" s="54" t="s">
        <v>817</v>
      </c>
      <c r="H59" s="74" t="s">
        <v>38</v>
      </c>
      <c r="I59" s="74"/>
      <c r="J59" s="78" t="s">
        <v>1073</v>
      </c>
      <c r="K59" s="78" t="s">
        <v>1104</v>
      </c>
      <c r="L59" s="85" t="s">
        <v>496</v>
      </c>
      <c r="M59" s="85" t="s">
        <v>818</v>
      </c>
      <c r="N59" s="85"/>
      <c r="O59" s="85" t="s">
        <v>819</v>
      </c>
      <c r="P59" s="85"/>
      <c r="Q59" s="85"/>
      <c r="R59" s="54"/>
      <c r="S59" s="54"/>
      <c r="T59" s="54"/>
      <c r="U59" s="85">
        <v>0.92300000000000004</v>
      </c>
      <c r="V59" s="86"/>
      <c r="W59" s="86"/>
      <c r="X59" s="58">
        <f t="shared" si="0"/>
        <v>0.92300000000000004</v>
      </c>
      <c r="Y59" s="87">
        <v>2.257008919</v>
      </c>
      <c r="Z59" s="63" t="str">
        <f t="shared" si="1"/>
        <v>F</v>
      </c>
    </row>
    <row r="60" spans="1:33">
      <c r="A60" s="53">
        <v>181</v>
      </c>
      <c r="B60" s="54" t="s">
        <v>766</v>
      </c>
      <c r="C60" s="54">
        <v>2009</v>
      </c>
      <c r="D60" s="83" t="s">
        <v>767</v>
      </c>
      <c r="E60" s="84" t="s">
        <v>49</v>
      </c>
      <c r="F60" s="85" t="s">
        <v>808</v>
      </c>
      <c r="G60" s="54" t="s">
        <v>817</v>
      </c>
      <c r="H60" s="74" t="s">
        <v>38</v>
      </c>
      <c r="I60" s="74"/>
      <c r="J60" s="78" t="s">
        <v>1073</v>
      </c>
      <c r="K60" s="78" t="s">
        <v>1104</v>
      </c>
      <c r="L60" s="85" t="s">
        <v>496</v>
      </c>
      <c r="M60" s="85" t="s">
        <v>818</v>
      </c>
      <c r="N60" s="85"/>
      <c r="O60" s="85" t="s">
        <v>825</v>
      </c>
      <c r="P60" s="85"/>
      <c r="Q60" s="85"/>
      <c r="R60" s="54"/>
      <c r="S60" s="54"/>
      <c r="T60" s="54"/>
      <c r="U60" s="85">
        <v>0.92100000000000004</v>
      </c>
      <c r="V60" s="86"/>
      <c r="W60" s="86"/>
      <c r="X60" s="58">
        <f t="shared" si="0"/>
        <v>0.92100000000000004</v>
      </c>
      <c r="Y60" s="87">
        <v>2.1498067230000002</v>
      </c>
      <c r="Z60" s="63" t="str">
        <f t="shared" si="1"/>
        <v>F</v>
      </c>
    </row>
    <row r="61" spans="1:33">
      <c r="A61" s="53">
        <v>174</v>
      </c>
      <c r="B61" s="54" t="s">
        <v>697</v>
      </c>
      <c r="C61" s="54">
        <v>2009</v>
      </c>
      <c r="D61" s="55" t="s">
        <v>698</v>
      </c>
      <c r="E61" s="56" t="s">
        <v>20</v>
      </c>
      <c r="F61" s="57" t="s">
        <v>701</v>
      </c>
      <c r="G61" s="54" t="s">
        <v>41</v>
      </c>
      <c r="H61" s="54" t="s">
        <v>41</v>
      </c>
      <c r="I61" s="54"/>
      <c r="J61" s="58" t="s">
        <v>1073</v>
      </c>
      <c r="K61" s="54" t="s">
        <v>1104</v>
      </c>
      <c r="L61" s="54" t="s">
        <v>704</v>
      </c>
      <c r="M61" s="59"/>
      <c r="N61" s="59"/>
      <c r="O61" s="54" t="s">
        <v>704</v>
      </c>
      <c r="P61" s="60"/>
      <c r="Q61" s="60"/>
      <c r="R61" s="54"/>
      <c r="S61" s="54"/>
      <c r="T61" s="54"/>
      <c r="U61" s="61">
        <v>0.88600000000000001</v>
      </c>
      <c r="V61" s="61"/>
      <c r="W61" s="61"/>
      <c r="X61" s="58">
        <f t="shared" si="0"/>
        <v>0.88600000000000001</v>
      </c>
      <c r="Y61" s="62">
        <v>5.9</v>
      </c>
      <c r="Z61" s="63" t="str">
        <f t="shared" si="1"/>
        <v>S</v>
      </c>
    </row>
    <row r="62" spans="1:33" s="107" customFormat="1">
      <c r="A62" s="124"/>
      <c r="B62" s="123" t="s">
        <v>1000</v>
      </c>
      <c r="C62" s="103">
        <v>2013</v>
      </c>
      <c r="D62" s="124"/>
      <c r="E62" s="123" t="s">
        <v>49</v>
      </c>
      <c r="F62" s="124"/>
      <c r="G62" s="124"/>
      <c r="H62" s="124" t="s">
        <v>41</v>
      </c>
      <c r="I62" s="124"/>
      <c r="J62" s="101" t="s">
        <v>1015</v>
      </c>
      <c r="K62" s="114" t="s">
        <v>1016</v>
      </c>
      <c r="L62" s="103" t="s">
        <v>709</v>
      </c>
      <c r="M62" s="124" t="s">
        <v>1001</v>
      </c>
      <c r="N62" s="124"/>
      <c r="O62" s="124"/>
      <c r="P62" s="124"/>
      <c r="Q62" s="124"/>
      <c r="R62" s="124"/>
      <c r="S62" s="124"/>
      <c r="T62" s="124"/>
      <c r="U62" s="124">
        <v>0.99</v>
      </c>
      <c r="V62" s="124"/>
      <c r="W62" s="124"/>
      <c r="X62" s="101">
        <f t="shared" si="0"/>
        <v>0.99</v>
      </c>
      <c r="Y62" s="125">
        <v>2.84</v>
      </c>
      <c r="Z62" s="106" t="str">
        <f t="shared" si="1"/>
        <v>F</v>
      </c>
      <c r="AA62" s="158"/>
      <c r="AB62" s="158" t="s">
        <v>1179</v>
      </c>
      <c r="AC62" s="158" t="s">
        <v>1182</v>
      </c>
      <c r="AD62" s="158" t="s">
        <v>1183</v>
      </c>
      <c r="AE62" s="150" t="s">
        <v>1184</v>
      </c>
      <c r="AF62" s="158" t="s">
        <v>1185</v>
      </c>
      <c r="AG62" s="150" t="s">
        <v>1186</v>
      </c>
    </row>
    <row r="63" spans="1:33" s="107" customFormat="1">
      <c r="A63" s="101"/>
      <c r="B63" s="123" t="s">
        <v>1000</v>
      </c>
      <c r="C63" s="103">
        <v>2013</v>
      </c>
      <c r="D63" s="101"/>
      <c r="E63" s="123" t="s">
        <v>49</v>
      </c>
      <c r="F63" s="101"/>
      <c r="G63" s="101"/>
      <c r="H63" s="101" t="s">
        <v>41</v>
      </c>
      <c r="I63" s="101"/>
      <c r="J63" s="101" t="s">
        <v>1015</v>
      </c>
      <c r="K63" s="114" t="s">
        <v>1016</v>
      </c>
      <c r="L63" s="103" t="s">
        <v>709</v>
      </c>
      <c r="M63" s="101" t="s">
        <v>1001</v>
      </c>
      <c r="N63" s="101"/>
      <c r="O63" s="101"/>
      <c r="P63" s="101"/>
      <c r="Q63" s="101"/>
      <c r="R63" s="101"/>
      <c r="S63" s="101"/>
      <c r="T63" s="101"/>
      <c r="U63" s="101">
        <v>0.97</v>
      </c>
      <c r="V63" s="101"/>
      <c r="W63" s="101"/>
      <c r="X63" s="101">
        <f t="shared" si="0"/>
        <v>0.97</v>
      </c>
      <c r="Y63" s="125">
        <v>4.3</v>
      </c>
      <c r="Z63" s="106" t="str">
        <f t="shared" si="1"/>
        <v>F</v>
      </c>
      <c r="AA63" s="150" t="s">
        <v>1355</v>
      </c>
      <c r="AB63" s="151">
        <f>AVERAGE($Y$62:$Y$103)</f>
        <v>3.7421797872619047</v>
      </c>
      <c r="AC63" s="151">
        <f>MEDIAN($Y$62:$Y$103)</f>
        <v>2.1800000000000002</v>
      </c>
      <c r="AD63" s="151">
        <f>MAX($Y$62:$Y$103)</f>
        <v>24.1</v>
      </c>
      <c r="AE63" s="151">
        <f>MIN($Y$62:$Y$103)</f>
        <v>1.2</v>
      </c>
      <c r="AF63" s="151">
        <f>STDEV($Y$62:$Y$103)</f>
        <v>4.3508379273913773</v>
      </c>
      <c r="AG63" s="150">
        <f>COUNT($Y$62:$Y$103)</f>
        <v>42</v>
      </c>
    </row>
    <row r="64" spans="1:33" s="107" customFormat="1">
      <c r="A64" s="101"/>
      <c r="B64" s="123" t="s">
        <v>992</v>
      </c>
      <c r="C64" s="103">
        <v>2013</v>
      </c>
      <c r="D64" s="101"/>
      <c r="E64" s="123" t="s">
        <v>172</v>
      </c>
      <c r="F64" s="101"/>
      <c r="G64" s="101"/>
      <c r="H64" s="101" t="s">
        <v>771</v>
      </c>
      <c r="I64" s="101"/>
      <c r="J64" s="124" t="s">
        <v>1015</v>
      </c>
      <c r="K64" s="124" t="s">
        <v>1085</v>
      </c>
      <c r="L64" s="103" t="s">
        <v>999</v>
      </c>
      <c r="M64" s="101"/>
      <c r="N64" s="101"/>
      <c r="O64" s="101"/>
      <c r="P64" s="101"/>
      <c r="Q64" s="101"/>
      <c r="R64" s="101"/>
      <c r="S64" s="101"/>
      <c r="T64" s="101"/>
      <c r="U64" s="101">
        <v>0.95699999999999996</v>
      </c>
      <c r="V64" s="101"/>
      <c r="W64" s="101"/>
      <c r="X64" s="101">
        <f t="shared" si="0"/>
        <v>0.95699999999999996</v>
      </c>
      <c r="Y64" s="125">
        <v>2.02</v>
      </c>
      <c r="Z64" s="106" t="str">
        <f t="shared" si="1"/>
        <v>F</v>
      </c>
      <c r="AA64" s="158" t="s">
        <v>1356</v>
      </c>
      <c r="AB64" s="244">
        <f>AVERAGE($Y$62:$Y$94)</f>
        <v>2.3834409413636362</v>
      </c>
      <c r="AC64" s="244">
        <f>MEDIAN($Y$62:$Y$94)</f>
        <v>2.039437484</v>
      </c>
      <c r="AD64" s="244">
        <f>MAX($Y$62:$Y$94)</f>
        <v>6.66</v>
      </c>
      <c r="AE64" s="244">
        <f>MIN($Y$62:$Y$94)</f>
        <v>1.2</v>
      </c>
      <c r="AF64" s="244">
        <f>STDEV($Y$62:$Y$94)</f>
        <v>1.1713870147127883</v>
      </c>
      <c r="AG64" s="245">
        <f>COUNT($Y$62:$Y$94)</f>
        <v>33</v>
      </c>
    </row>
    <row r="65" spans="1:33" s="107" customFormat="1">
      <c r="A65" s="97">
        <v>173</v>
      </c>
      <c r="B65" s="98" t="s">
        <v>585</v>
      </c>
      <c r="C65" s="98">
        <v>2011</v>
      </c>
      <c r="D65" s="108" t="s">
        <v>636</v>
      </c>
      <c r="E65" s="99" t="s">
        <v>638</v>
      </c>
      <c r="F65" s="100" t="s">
        <v>642</v>
      </c>
      <c r="G65" s="98" t="s">
        <v>643</v>
      </c>
      <c r="H65" s="98" t="s">
        <v>41</v>
      </c>
      <c r="I65" s="98"/>
      <c r="J65" s="101" t="s">
        <v>1015</v>
      </c>
      <c r="K65" s="98" t="s">
        <v>1081</v>
      </c>
      <c r="L65" s="98" t="s">
        <v>640</v>
      </c>
      <c r="M65" s="109"/>
      <c r="N65" s="109"/>
      <c r="O65" s="98" t="s">
        <v>646</v>
      </c>
      <c r="P65" s="103"/>
      <c r="Q65" s="103"/>
      <c r="R65" s="98"/>
      <c r="S65" s="98"/>
      <c r="T65" s="98"/>
      <c r="U65" s="104">
        <v>0.95699999999999996</v>
      </c>
      <c r="V65" s="104"/>
      <c r="W65" s="104"/>
      <c r="X65" s="101">
        <f t="shared" si="0"/>
        <v>0.95699999999999996</v>
      </c>
      <c r="Y65" s="122">
        <v>1.2</v>
      </c>
      <c r="Z65" s="106" t="str">
        <f t="shared" si="1"/>
        <v>F</v>
      </c>
      <c r="AA65" s="158" t="s">
        <v>1357</v>
      </c>
      <c r="AB65" s="244">
        <f>AVERAGE($Y$95:$Y$103)</f>
        <v>8.7242222222222221</v>
      </c>
      <c r="AC65" s="244">
        <f>MEDIAN($Y$95:$Y$103)</f>
        <v>5.2</v>
      </c>
      <c r="AD65" s="244">
        <f>MAX($Y$95:$Y$103)</f>
        <v>24.1</v>
      </c>
      <c r="AE65" s="244">
        <f>MIN($Y$95:$Y$103)</f>
        <v>2.2000000000000002</v>
      </c>
      <c r="AF65" s="244">
        <f>STDEV($Y$95:$Y$103)</f>
        <v>7.4824989438318301</v>
      </c>
      <c r="AG65" s="245">
        <f>COUNT($Y$95:$Y$103)</f>
        <v>9</v>
      </c>
    </row>
    <row r="66" spans="1:33" s="107" customFormat="1">
      <c r="A66" s="97">
        <v>173</v>
      </c>
      <c r="B66" s="98" t="s">
        <v>585</v>
      </c>
      <c r="C66" s="98">
        <v>2011</v>
      </c>
      <c r="D66" s="108" t="s">
        <v>636</v>
      </c>
      <c r="E66" s="99" t="s">
        <v>638</v>
      </c>
      <c r="F66" s="100" t="s">
        <v>653</v>
      </c>
      <c r="G66" s="98" t="s">
        <v>643</v>
      </c>
      <c r="H66" s="98" t="s">
        <v>41</v>
      </c>
      <c r="I66" s="98"/>
      <c r="J66" s="98" t="s">
        <v>1015</v>
      </c>
      <c r="K66" s="98" t="s">
        <v>1067</v>
      </c>
      <c r="L66" s="98" t="s">
        <v>654</v>
      </c>
      <c r="M66" s="109"/>
      <c r="N66" s="109"/>
      <c r="O66" s="98" t="s">
        <v>655</v>
      </c>
      <c r="P66" s="103"/>
      <c r="Q66" s="103"/>
      <c r="R66" s="98"/>
      <c r="S66" s="98"/>
      <c r="T66" s="98"/>
      <c r="U66" s="104">
        <v>0.95199999999999996</v>
      </c>
      <c r="V66" s="104"/>
      <c r="W66" s="104"/>
      <c r="X66" s="101">
        <f t="shared" ref="X66:X119" si="2">IF(R66&lt;&gt;0,IF(R66&gt;1,R66/100,R66),IF(U66&lt;&gt;0,IF(U66&gt;1,U66/100,U66),""))</f>
        <v>0.95199999999999996</v>
      </c>
      <c r="Y66" s="122">
        <v>2.69</v>
      </c>
      <c r="Z66" s="106" t="str">
        <f t="shared" ref="Z66:Z119" si="3">IF(X66&lt;&gt;"",IF(X66&lt;0.9,"S","F"),"")</f>
        <v>F</v>
      </c>
    </row>
    <row r="67" spans="1:33" s="107" customFormat="1">
      <c r="A67" s="97">
        <v>181</v>
      </c>
      <c r="B67" s="98" t="s">
        <v>766</v>
      </c>
      <c r="C67" s="98">
        <v>2009</v>
      </c>
      <c r="D67" s="112" t="s">
        <v>767</v>
      </c>
      <c r="E67" s="112" t="s">
        <v>49</v>
      </c>
      <c r="F67" s="119" t="s">
        <v>799</v>
      </c>
      <c r="G67" s="98" t="s">
        <v>847</v>
      </c>
      <c r="H67" s="108" t="s">
        <v>43</v>
      </c>
      <c r="I67" s="108"/>
      <c r="J67" s="115" t="s">
        <v>1015</v>
      </c>
      <c r="K67" s="115" t="s">
        <v>1021</v>
      </c>
      <c r="L67" s="119" t="s">
        <v>496</v>
      </c>
      <c r="M67" s="119" t="s">
        <v>809</v>
      </c>
      <c r="N67" s="119" t="s">
        <v>848</v>
      </c>
      <c r="O67" s="119" t="s">
        <v>857</v>
      </c>
      <c r="P67" s="119"/>
      <c r="Q67" s="119"/>
      <c r="R67" s="98"/>
      <c r="S67" s="98"/>
      <c r="T67" s="98"/>
      <c r="U67" s="119">
        <v>0.95199999999999996</v>
      </c>
      <c r="V67" s="120"/>
      <c r="W67" s="120"/>
      <c r="X67" s="101">
        <f t="shared" si="2"/>
        <v>0.95199999999999996</v>
      </c>
      <c r="Y67" s="121">
        <v>1.4118115739999999</v>
      </c>
      <c r="Z67" s="106" t="str">
        <f t="shared" si="3"/>
        <v>F</v>
      </c>
    </row>
    <row r="68" spans="1:33" s="107" customFormat="1">
      <c r="A68" s="97">
        <v>173</v>
      </c>
      <c r="B68" s="98" t="s">
        <v>585</v>
      </c>
      <c r="C68" s="98">
        <v>2011</v>
      </c>
      <c r="D68" s="108" t="s">
        <v>636</v>
      </c>
      <c r="E68" s="99" t="s">
        <v>638</v>
      </c>
      <c r="F68" s="100" t="s">
        <v>642</v>
      </c>
      <c r="G68" s="98" t="s">
        <v>643</v>
      </c>
      <c r="H68" s="98" t="s">
        <v>41</v>
      </c>
      <c r="I68" s="98"/>
      <c r="J68" s="101" t="s">
        <v>1015</v>
      </c>
      <c r="K68" s="98" t="s">
        <v>1080</v>
      </c>
      <c r="L68" s="98" t="s">
        <v>644</v>
      </c>
      <c r="M68" s="109"/>
      <c r="N68" s="109"/>
      <c r="O68" s="98" t="s">
        <v>645</v>
      </c>
      <c r="P68" s="103"/>
      <c r="Q68" s="103"/>
      <c r="R68" s="98"/>
      <c r="S68" s="98"/>
      <c r="T68" s="98"/>
      <c r="U68" s="104">
        <v>0.95099999999999996</v>
      </c>
      <c r="V68" s="104"/>
      <c r="W68" s="104"/>
      <c r="X68" s="101">
        <f t="shared" si="2"/>
        <v>0.95099999999999996</v>
      </c>
      <c r="Y68" s="122">
        <v>1.33</v>
      </c>
      <c r="Z68" s="106" t="str">
        <f t="shared" si="3"/>
        <v>F</v>
      </c>
    </row>
    <row r="69" spans="1:33" s="107" customFormat="1">
      <c r="A69" s="97">
        <v>173</v>
      </c>
      <c r="B69" s="98" t="s">
        <v>585</v>
      </c>
      <c r="C69" s="98">
        <v>2011</v>
      </c>
      <c r="D69" s="108" t="s">
        <v>636</v>
      </c>
      <c r="E69" s="99" t="s">
        <v>638</v>
      </c>
      <c r="F69" s="100" t="s">
        <v>650</v>
      </c>
      <c r="G69" s="98" t="s">
        <v>495</v>
      </c>
      <c r="H69" s="98" t="s">
        <v>41</v>
      </c>
      <c r="I69" s="98"/>
      <c r="J69" s="101" t="s">
        <v>1015</v>
      </c>
      <c r="K69" s="98" t="s">
        <v>1077</v>
      </c>
      <c r="L69" s="98" t="s">
        <v>651</v>
      </c>
      <c r="M69" s="109"/>
      <c r="N69" s="109"/>
      <c r="O69" s="98" t="s">
        <v>652</v>
      </c>
      <c r="P69" s="103"/>
      <c r="Q69" s="103"/>
      <c r="R69" s="98"/>
      <c r="S69" s="98"/>
      <c r="T69" s="98"/>
      <c r="U69" s="104">
        <v>0.94499999999999995</v>
      </c>
      <c r="V69" s="104"/>
      <c r="W69" s="104"/>
      <c r="X69" s="101">
        <f t="shared" si="2"/>
        <v>0.94499999999999995</v>
      </c>
      <c r="Y69" s="122">
        <v>1.69</v>
      </c>
      <c r="Z69" s="106" t="str">
        <f t="shared" si="3"/>
        <v>F</v>
      </c>
      <c r="AA69" s="118"/>
      <c r="AB69" s="118"/>
      <c r="AC69" s="118"/>
      <c r="AD69" s="118"/>
    </row>
    <row r="70" spans="1:33" s="107" customFormat="1">
      <c r="A70" s="97">
        <v>174</v>
      </c>
      <c r="B70" s="98" t="s">
        <v>697</v>
      </c>
      <c r="C70" s="98">
        <v>2009</v>
      </c>
      <c r="D70" s="108" t="s">
        <v>698</v>
      </c>
      <c r="E70" s="99" t="s">
        <v>20</v>
      </c>
      <c r="F70" s="100" t="s">
        <v>701</v>
      </c>
      <c r="G70" s="98" t="s">
        <v>708</v>
      </c>
      <c r="H70" s="98" t="s">
        <v>708</v>
      </c>
      <c r="I70" s="98"/>
      <c r="J70" s="101" t="s">
        <v>1015</v>
      </c>
      <c r="K70" s="98" t="s">
        <v>1021</v>
      </c>
      <c r="L70" s="98" t="s">
        <v>709</v>
      </c>
      <c r="M70" s="109"/>
      <c r="N70" s="109"/>
      <c r="O70" s="98" t="s">
        <v>709</v>
      </c>
      <c r="P70" s="103"/>
      <c r="Q70" s="103"/>
      <c r="R70" s="98"/>
      <c r="S70" s="98"/>
      <c r="T70" s="98"/>
      <c r="U70" s="104">
        <v>0.94399999999999995</v>
      </c>
      <c r="V70" s="104"/>
      <c r="W70" s="104"/>
      <c r="X70" s="101">
        <f t="shared" si="2"/>
        <v>0.94399999999999995</v>
      </c>
      <c r="Y70" s="110">
        <v>2.1</v>
      </c>
      <c r="Z70" s="106" t="str">
        <f t="shared" si="3"/>
        <v>F</v>
      </c>
      <c r="AD70" s="118"/>
    </row>
    <row r="71" spans="1:33" s="107" customFormat="1">
      <c r="A71" s="97">
        <v>173</v>
      </c>
      <c r="B71" s="98" t="s">
        <v>585</v>
      </c>
      <c r="C71" s="98">
        <v>2011</v>
      </c>
      <c r="D71" s="108" t="s">
        <v>636</v>
      </c>
      <c r="E71" s="99" t="s">
        <v>638</v>
      </c>
      <c r="F71" s="100" t="s">
        <v>639</v>
      </c>
      <c r="G71" s="98" t="s">
        <v>495</v>
      </c>
      <c r="H71" s="98" t="s">
        <v>41</v>
      </c>
      <c r="I71" s="98"/>
      <c r="J71" s="101" t="s">
        <v>1015</v>
      </c>
      <c r="K71" s="98" t="s">
        <v>1076</v>
      </c>
      <c r="L71" s="98" t="s">
        <v>640</v>
      </c>
      <c r="M71" s="109"/>
      <c r="N71" s="109"/>
      <c r="O71" s="98" t="s">
        <v>641</v>
      </c>
      <c r="P71" s="103"/>
      <c r="Q71" s="103"/>
      <c r="R71" s="98"/>
      <c r="S71" s="98"/>
      <c r="T71" s="98"/>
      <c r="U71" s="104">
        <v>0.94299999999999995</v>
      </c>
      <c r="V71" s="104"/>
      <c r="W71" s="104"/>
      <c r="X71" s="101">
        <f t="shared" si="2"/>
        <v>0.94299999999999995</v>
      </c>
      <c r="Y71" s="122">
        <v>1.6</v>
      </c>
      <c r="Z71" s="106" t="str">
        <f t="shared" si="3"/>
        <v>F</v>
      </c>
    </row>
    <row r="72" spans="1:33" s="107" customFormat="1">
      <c r="A72" s="97">
        <v>173</v>
      </c>
      <c r="B72" s="98" t="s">
        <v>585</v>
      </c>
      <c r="C72" s="98">
        <v>2011</v>
      </c>
      <c r="D72" s="108" t="s">
        <v>636</v>
      </c>
      <c r="E72" s="99" t="s">
        <v>638</v>
      </c>
      <c r="F72" s="100" t="s">
        <v>647</v>
      </c>
      <c r="G72" s="98" t="s">
        <v>643</v>
      </c>
      <c r="H72" s="98" t="s">
        <v>41</v>
      </c>
      <c r="I72" s="98"/>
      <c r="J72" s="101" t="s">
        <v>1015</v>
      </c>
      <c r="K72" s="98" t="s">
        <v>1076</v>
      </c>
      <c r="L72" s="98" t="s">
        <v>648</v>
      </c>
      <c r="M72" s="109"/>
      <c r="N72" s="109"/>
      <c r="O72" s="98" t="s">
        <v>649</v>
      </c>
      <c r="P72" s="103"/>
      <c r="Q72" s="103"/>
      <c r="R72" s="98"/>
      <c r="S72" s="98"/>
      <c r="T72" s="98"/>
      <c r="U72" s="104">
        <v>0.94199999999999995</v>
      </c>
      <c r="V72" s="104"/>
      <c r="W72" s="104"/>
      <c r="X72" s="101">
        <f t="shared" si="2"/>
        <v>0.94199999999999995</v>
      </c>
      <c r="Y72" s="122">
        <v>2.16</v>
      </c>
      <c r="Z72" s="106" t="str">
        <f t="shared" si="3"/>
        <v>F</v>
      </c>
    </row>
    <row r="73" spans="1:33" s="107" customFormat="1">
      <c r="A73" s="97">
        <v>181</v>
      </c>
      <c r="B73" s="98" t="s">
        <v>766</v>
      </c>
      <c r="C73" s="98">
        <v>2009</v>
      </c>
      <c r="D73" s="112" t="s">
        <v>767</v>
      </c>
      <c r="E73" s="112" t="s">
        <v>49</v>
      </c>
      <c r="F73" s="119" t="s">
        <v>808</v>
      </c>
      <c r="G73" s="98" t="s">
        <v>804</v>
      </c>
      <c r="H73" s="108" t="s">
        <v>38</v>
      </c>
      <c r="I73" s="108"/>
      <c r="J73" s="108" t="s">
        <v>1015</v>
      </c>
      <c r="K73" s="108" t="s">
        <v>1019</v>
      </c>
      <c r="L73" s="119" t="s">
        <v>496</v>
      </c>
      <c r="M73" s="119" t="s">
        <v>533</v>
      </c>
      <c r="N73" s="119"/>
      <c r="O73" s="119" t="s">
        <v>827</v>
      </c>
      <c r="P73" s="119"/>
      <c r="Q73" s="119"/>
      <c r="R73" s="98"/>
      <c r="S73" s="98"/>
      <c r="T73" s="98"/>
      <c r="U73" s="119">
        <v>0.94199999999999995</v>
      </c>
      <c r="V73" s="120"/>
      <c r="W73" s="120"/>
      <c r="X73" s="101">
        <f t="shared" si="2"/>
        <v>0.94199999999999995</v>
      </c>
      <c r="Y73" s="121">
        <v>1.7778977970000001</v>
      </c>
      <c r="Z73" s="106" t="str">
        <f t="shared" si="3"/>
        <v>F</v>
      </c>
    </row>
    <row r="74" spans="1:33" s="107" customFormat="1">
      <c r="A74" s="97">
        <v>181</v>
      </c>
      <c r="B74" s="98" t="s">
        <v>766</v>
      </c>
      <c r="C74" s="98">
        <v>2009</v>
      </c>
      <c r="D74" s="112" t="s">
        <v>767</v>
      </c>
      <c r="E74" s="113" t="s">
        <v>49</v>
      </c>
      <c r="F74" s="114" t="s">
        <v>808</v>
      </c>
      <c r="G74" s="98" t="s">
        <v>770</v>
      </c>
      <c r="H74" s="115" t="s">
        <v>771</v>
      </c>
      <c r="I74" s="115"/>
      <c r="J74" s="115" t="s">
        <v>1015</v>
      </c>
      <c r="K74" s="115" t="s">
        <v>1021</v>
      </c>
      <c r="L74" s="114" t="s">
        <v>496</v>
      </c>
      <c r="M74" s="114" t="s">
        <v>809</v>
      </c>
      <c r="N74" s="114"/>
      <c r="O74" s="114" t="s">
        <v>810</v>
      </c>
      <c r="P74" s="114"/>
      <c r="Q74" s="114"/>
      <c r="R74" s="98"/>
      <c r="S74" s="98"/>
      <c r="T74" s="98"/>
      <c r="U74" s="114">
        <v>0.94099999999999995</v>
      </c>
      <c r="V74" s="116"/>
      <c r="W74" s="116"/>
      <c r="X74" s="101">
        <f t="shared" si="2"/>
        <v>0.94099999999999995</v>
      </c>
      <c r="Y74" s="117">
        <v>1.59107423</v>
      </c>
      <c r="Z74" s="106" t="str">
        <f t="shared" si="3"/>
        <v>F</v>
      </c>
      <c r="AD74" s="118"/>
    </row>
    <row r="75" spans="1:33" s="107" customFormat="1">
      <c r="A75" s="97">
        <v>181</v>
      </c>
      <c r="B75" s="98" t="s">
        <v>766</v>
      </c>
      <c r="C75" s="98">
        <v>2009</v>
      </c>
      <c r="D75" s="112" t="s">
        <v>767</v>
      </c>
      <c r="E75" s="113" t="s">
        <v>49</v>
      </c>
      <c r="F75" s="114" t="s">
        <v>799</v>
      </c>
      <c r="G75" s="98" t="s">
        <v>847</v>
      </c>
      <c r="H75" s="115" t="s">
        <v>43</v>
      </c>
      <c r="I75" s="115"/>
      <c r="J75" s="115" t="s">
        <v>1015</v>
      </c>
      <c r="K75" s="115" t="s">
        <v>1021</v>
      </c>
      <c r="L75" s="114" t="s">
        <v>496</v>
      </c>
      <c r="M75" s="114" t="s">
        <v>809</v>
      </c>
      <c r="N75" s="114" t="s">
        <v>848</v>
      </c>
      <c r="O75" s="114" t="s">
        <v>849</v>
      </c>
      <c r="P75" s="114"/>
      <c r="Q75" s="114"/>
      <c r="R75" s="98"/>
      <c r="S75" s="98"/>
      <c r="T75" s="98"/>
      <c r="U75" s="114">
        <v>0.94</v>
      </c>
      <c r="V75" s="116"/>
      <c r="W75" s="116"/>
      <c r="X75" s="101">
        <f t="shared" si="2"/>
        <v>0.94</v>
      </c>
      <c r="Y75" s="117">
        <v>1.2607979419999999</v>
      </c>
      <c r="Z75" s="106" t="str">
        <f t="shared" si="3"/>
        <v>F</v>
      </c>
      <c r="AD75" s="118"/>
    </row>
    <row r="76" spans="1:33" s="107" customFormat="1">
      <c r="A76" s="101"/>
      <c r="B76" s="123" t="s">
        <v>992</v>
      </c>
      <c r="C76" s="103">
        <v>2013</v>
      </c>
      <c r="D76" s="101"/>
      <c r="E76" s="123" t="s">
        <v>172</v>
      </c>
      <c r="F76" s="101"/>
      <c r="G76" s="101"/>
      <c r="H76" s="101" t="s">
        <v>771</v>
      </c>
      <c r="I76" s="101"/>
      <c r="J76" s="124" t="s">
        <v>1015</v>
      </c>
      <c r="K76" s="101" t="s">
        <v>1018</v>
      </c>
      <c r="L76" s="103" t="s">
        <v>997</v>
      </c>
      <c r="M76" s="101"/>
      <c r="N76" s="101"/>
      <c r="O76" s="101"/>
      <c r="P76" s="101"/>
      <c r="Q76" s="101"/>
      <c r="R76" s="101"/>
      <c r="S76" s="101"/>
      <c r="T76" s="101"/>
      <c r="U76" s="101">
        <v>0.93799999999999994</v>
      </c>
      <c r="V76" s="101"/>
      <c r="W76" s="101"/>
      <c r="X76" s="101">
        <f t="shared" si="2"/>
        <v>0.93799999999999994</v>
      </c>
      <c r="Y76" s="125">
        <v>2.2200000000000002</v>
      </c>
      <c r="Z76" s="106" t="str">
        <f t="shared" si="3"/>
        <v>F</v>
      </c>
    </row>
    <row r="77" spans="1:33" s="107" customFormat="1">
      <c r="A77" s="97">
        <v>181</v>
      </c>
      <c r="B77" s="98" t="s">
        <v>766</v>
      </c>
      <c r="C77" s="98">
        <v>2009</v>
      </c>
      <c r="D77" s="112" t="s">
        <v>767</v>
      </c>
      <c r="E77" s="113" t="s">
        <v>49</v>
      </c>
      <c r="F77" s="114" t="s">
        <v>808</v>
      </c>
      <c r="G77" s="98" t="s">
        <v>794</v>
      </c>
      <c r="H77" s="115" t="s">
        <v>41</v>
      </c>
      <c r="I77" s="115"/>
      <c r="J77" s="115" t="s">
        <v>1015</v>
      </c>
      <c r="K77" s="115" t="s">
        <v>1015</v>
      </c>
      <c r="L77" s="114" t="s">
        <v>496</v>
      </c>
      <c r="M77" s="114" t="s">
        <v>497</v>
      </c>
      <c r="N77" s="114" t="s">
        <v>742</v>
      </c>
      <c r="O77" s="114" t="s">
        <v>846</v>
      </c>
      <c r="P77" s="114"/>
      <c r="Q77" s="114"/>
      <c r="R77" s="98"/>
      <c r="S77" s="98"/>
      <c r="T77" s="98"/>
      <c r="U77" s="114">
        <v>0.93600000000000005</v>
      </c>
      <c r="V77" s="116"/>
      <c r="W77" s="116"/>
      <c r="X77" s="101">
        <f t="shared" si="2"/>
        <v>0.93600000000000005</v>
      </c>
      <c r="Y77" s="117">
        <v>1.990031758</v>
      </c>
      <c r="Z77" s="106" t="str">
        <f t="shared" si="3"/>
        <v>F</v>
      </c>
    </row>
    <row r="78" spans="1:33" s="107" customFormat="1">
      <c r="A78" s="97">
        <v>181</v>
      </c>
      <c r="B78" s="98" t="s">
        <v>766</v>
      </c>
      <c r="C78" s="98">
        <v>2009</v>
      </c>
      <c r="D78" s="112" t="s">
        <v>767</v>
      </c>
      <c r="E78" s="113" t="s">
        <v>49</v>
      </c>
      <c r="F78" s="114" t="s">
        <v>808</v>
      </c>
      <c r="G78" s="98" t="s">
        <v>770</v>
      </c>
      <c r="H78" s="115" t="s">
        <v>771</v>
      </c>
      <c r="I78" s="115"/>
      <c r="J78" s="115" t="s">
        <v>1015</v>
      </c>
      <c r="K78" s="115" t="s">
        <v>1019</v>
      </c>
      <c r="L78" s="114" t="s">
        <v>496</v>
      </c>
      <c r="M78" s="114" t="s">
        <v>533</v>
      </c>
      <c r="N78" s="114"/>
      <c r="O78" s="114" t="s">
        <v>831</v>
      </c>
      <c r="P78" s="114"/>
      <c r="Q78" s="114"/>
      <c r="R78" s="98"/>
      <c r="S78" s="98"/>
      <c r="T78" s="98"/>
      <c r="U78" s="114">
        <v>0.93600000000000005</v>
      </c>
      <c r="V78" s="116"/>
      <c r="W78" s="116"/>
      <c r="X78" s="101">
        <f t="shared" si="2"/>
        <v>0.93600000000000005</v>
      </c>
      <c r="Y78" s="117">
        <v>1.639339954</v>
      </c>
      <c r="Z78" s="106" t="str">
        <f t="shared" si="3"/>
        <v>F</v>
      </c>
    </row>
    <row r="79" spans="1:33" s="118" customFormat="1">
      <c r="A79" s="101"/>
      <c r="B79" s="123" t="s">
        <v>992</v>
      </c>
      <c r="C79" s="103">
        <v>2013</v>
      </c>
      <c r="D79" s="101"/>
      <c r="E79" s="123" t="s">
        <v>172</v>
      </c>
      <c r="F79" s="101"/>
      <c r="G79" s="101"/>
      <c r="H79" s="101" t="s">
        <v>771</v>
      </c>
      <c r="I79" s="101"/>
      <c r="J79" s="124" t="s">
        <v>1015</v>
      </c>
      <c r="K79" s="101" t="s">
        <v>1021</v>
      </c>
      <c r="L79" s="103" t="s">
        <v>995</v>
      </c>
      <c r="M79" s="101"/>
      <c r="N79" s="101"/>
      <c r="O79" s="101"/>
      <c r="P79" s="101"/>
      <c r="Q79" s="101"/>
      <c r="R79" s="101"/>
      <c r="S79" s="101"/>
      <c r="T79" s="101"/>
      <c r="U79" s="101">
        <v>0.93500000000000005</v>
      </c>
      <c r="V79" s="101"/>
      <c r="W79" s="101"/>
      <c r="X79" s="101">
        <f t="shared" si="2"/>
        <v>0.93500000000000005</v>
      </c>
      <c r="Y79" s="125">
        <v>2.0099999999999998</v>
      </c>
      <c r="Z79" s="106" t="str">
        <f t="shared" si="3"/>
        <v>F</v>
      </c>
      <c r="AA79" s="107"/>
      <c r="AB79" s="107"/>
      <c r="AC79" s="107"/>
      <c r="AD79" s="107"/>
    </row>
    <row r="80" spans="1:33" s="118" customFormat="1">
      <c r="A80" s="97">
        <v>181</v>
      </c>
      <c r="B80" s="98" t="s">
        <v>766</v>
      </c>
      <c r="C80" s="98">
        <v>2009</v>
      </c>
      <c r="D80" s="112" t="s">
        <v>767</v>
      </c>
      <c r="E80" s="113" t="s">
        <v>49</v>
      </c>
      <c r="F80" s="114" t="s">
        <v>799</v>
      </c>
      <c r="G80" s="98" t="s">
        <v>847</v>
      </c>
      <c r="H80" s="115" t="s">
        <v>43</v>
      </c>
      <c r="I80" s="115"/>
      <c r="J80" s="115" t="s">
        <v>1015</v>
      </c>
      <c r="K80" s="115" t="s">
        <v>1021</v>
      </c>
      <c r="L80" s="114" t="s">
        <v>496</v>
      </c>
      <c r="M80" s="114" t="s">
        <v>809</v>
      </c>
      <c r="N80" s="114" t="s">
        <v>848</v>
      </c>
      <c r="O80" s="114" t="s">
        <v>850</v>
      </c>
      <c r="P80" s="114"/>
      <c r="Q80" s="114"/>
      <c r="R80" s="98"/>
      <c r="S80" s="98"/>
      <c r="T80" s="98"/>
      <c r="U80" s="114">
        <v>0.93400000000000005</v>
      </c>
      <c r="V80" s="116"/>
      <c r="W80" s="116"/>
      <c r="X80" s="101">
        <f t="shared" si="2"/>
        <v>0.93400000000000005</v>
      </c>
      <c r="Y80" s="117">
        <v>1.450457949</v>
      </c>
      <c r="Z80" s="106" t="str">
        <f t="shared" si="3"/>
        <v>F</v>
      </c>
    </row>
    <row r="81" spans="1:30" s="118" customFormat="1">
      <c r="A81" s="101"/>
      <c r="B81" s="123" t="s">
        <v>992</v>
      </c>
      <c r="C81" s="103">
        <v>2013</v>
      </c>
      <c r="D81" s="101"/>
      <c r="E81" s="123" t="s">
        <v>172</v>
      </c>
      <c r="F81" s="101"/>
      <c r="G81" s="101"/>
      <c r="H81" s="101" t="s">
        <v>771</v>
      </c>
      <c r="I81" s="101"/>
      <c r="J81" s="124" t="s">
        <v>1015</v>
      </c>
      <c r="K81" s="124" t="s">
        <v>1021</v>
      </c>
      <c r="L81" s="103" t="s">
        <v>998</v>
      </c>
      <c r="M81" s="101"/>
      <c r="N81" s="101"/>
      <c r="O81" s="101"/>
      <c r="P81" s="101"/>
      <c r="Q81" s="101"/>
      <c r="R81" s="101"/>
      <c r="S81" s="101"/>
      <c r="T81" s="101"/>
      <c r="U81" s="101">
        <v>0.93300000000000005</v>
      </c>
      <c r="V81" s="101"/>
      <c r="W81" s="101"/>
      <c r="X81" s="101">
        <f t="shared" si="2"/>
        <v>0.93300000000000005</v>
      </c>
      <c r="Y81" s="125">
        <v>1.88</v>
      </c>
      <c r="Z81" s="106" t="str">
        <f t="shared" si="3"/>
        <v>F</v>
      </c>
      <c r="AA81" s="107"/>
      <c r="AB81" s="107"/>
      <c r="AC81" s="107"/>
      <c r="AD81" s="107"/>
    </row>
    <row r="82" spans="1:30" s="118" customFormat="1">
      <c r="A82" s="97">
        <v>181</v>
      </c>
      <c r="B82" s="98" t="s">
        <v>766</v>
      </c>
      <c r="C82" s="98">
        <v>2009</v>
      </c>
      <c r="D82" s="112" t="s">
        <v>767</v>
      </c>
      <c r="E82" s="113" t="s">
        <v>49</v>
      </c>
      <c r="F82" s="114" t="s">
        <v>769</v>
      </c>
      <c r="G82" s="98" t="s">
        <v>770</v>
      </c>
      <c r="H82" s="115" t="s">
        <v>771</v>
      </c>
      <c r="I82" s="115"/>
      <c r="J82" s="115" t="s">
        <v>1015</v>
      </c>
      <c r="K82" s="115" t="s">
        <v>1019</v>
      </c>
      <c r="L82" s="114" t="s">
        <v>496</v>
      </c>
      <c r="M82" s="114" t="s">
        <v>533</v>
      </c>
      <c r="N82" s="114"/>
      <c r="O82" s="114" t="s">
        <v>772</v>
      </c>
      <c r="P82" s="114"/>
      <c r="Q82" s="114"/>
      <c r="R82" s="98"/>
      <c r="S82" s="98"/>
      <c r="T82" s="98"/>
      <c r="U82" s="114">
        <v>0.93200000000000005</v>
      </c>
      <c r="V82" s="116"/>
      <c r="W82" s="116"/>
      <c r="X82" s="101">
        <f t="shared" si="2"/>
        <v>0.93200000000000005</v>
      </c>
      <c r="Y82" s="117">
        <v>2.039437484</v>
      </c>
      <c r="Z82" s="106" t="str">
        <f t="shared" si="3"/>
        <v>F</v>
      </c>
      <c r="AA82" s="107"/>
      <c r="AB82" s="107"/>
      <c r="AC82" s="107"/>
      <c r="AD82" s="107"/>
    </row>
    <row r="83" spans="1:30" s="118" customFormat="1">
      <c r="A83" s="101"/>
      <c r="B83" s="123" t="s">
        <v>992</v>
      </c>
      <c r="C83" s="103">
        <v>2013</v>
      </c>
      <c r="D83" s="101"/>
      <c r="E83" s="123" t="s">
        <v>172</v>
      </c>
      <c r="F83" s="101"/>
      <c r="G83" s="101"/>
      <c r="H83" s="101" t="s">
        <v>771</v>
      </c>
      <c r="I83" s="101"/>
      <c r="J83" s="124" t="s">
        <v>1015</v>
      </c>
      <c r="K83" s="101" t="s">
        <v>1021</v>
      </c>
      <c r="L83" s="103" t="s">
        <v>993</v>
      </c>
      <c r="M83" s="101"/>
      <c r="N83" s="101"/>
      <c r="O83" s="101"/>
      <c r="P83" s="101"/>
      <c r="Q83" s="101"/>
      <c r="R83" s="101"/>
      <c r="S83" s="101"/>
      <c r="T83" s="101"/>
      <c r="U83" s="101">
        <v>0.93200000000000005</v>
      </c>
      <c r="V83" s="101"/>
      <c r="W83" s="101"/>
      <c r="X83" s="101">
        <f t="shared" si="2"/>
        <v>0.93200000000000005</v>
      </c>
      <c r="Y83" s="125">
        <v>1.74</v>
      </c>
      <c r="Z83" s="106" t="str">
        <f t="shared" si="3"/>
        <v>F</v>
      </c>
      <c r="AA83" s="107"/>
      <c r="AB83" s="107"/>
      <c r="AC83" s="107"/>
      <c r="AD83" s="107"/>
    </row>
    <row r="84" spans="1:30" s="118" customFormat="1">
      <c r="A84" s="97">
        <v>173</v>
      </c>
      <c r="B84" s="98" t="s">
        <v>585</v>
      </c>
      <c r="C84" s="98">
        <v>2011</v>
      </c>
      <c r="D84" s="108" t="s">
        <v>636</v>
      </c>
      <c r="E84" s="99" t="s">
        <v>681</v>
      </c>
      <c r="F84" s="100" t="s">
        <v>690</v>
      </c>
      <c r="G84" s="98" t="s">
        <v>643</v>
      </c>
      <c r="H84" s="98" t="s">
        <v>41</v>
      </c>
      <c r="I84" s="98"/>
      <c r="J84" s="98" t="s">
        <v>1015</v>
      </c>
      <c r="K84" s="98" t="s">
        <v>1144</v>
      </c>
      <c r="L84" s="98" t="s">
        <v>39</v>
      </c>
      <c r="M84" s="109"/>
      <c r="N84" s="109"/>
      <c r="O84" s="98" t="s">
        <v>691</v>
      </c>
      <c r="P84" s="103"/>
      <c r="Q84" s="103"/>
      <c r="R84" s="98"/>
      <c r="S84" s="98"/>
      <c r="T84" s="98"/>
      <c r="U84" s="104">
        <v>0.93100000000000005</v>
      </c>
      <c r="V84" s="104"/>
      <c r="W84" s="104"/>
      <c r="X84" s="101">
        <f t="shared" si="2"/>
        <v>0.93100000000000005</v>
      </c>
      <c r="Y84" s="122">
        <v>2.0699999999999998</v>
      </c>
      <c r="Z84" s="106" t="str">
        <f t="shared" si="3"/>
        <v>F</v>
      </c>
      <c r="AA84" s="107"/>
      <c r="AB84" s="107"/>
      <c r="AC84" s="107"/>
      <c r="AD84" s="107"/>
    </row>
    <row r="85" spans="1:30" s="107" customFormat="1">
      <c r="A85" s="97">
        <v>174</v>
      </c>
      <c r="B85" s="98" t="s">
        <v>697</v>
      </c>
      <c r="C85" s="98">
        <v>2009</v>
      </c>
      <c r="D85" s="108" t="s">
        <v>698</v>
      </c>
      <c r="E85" s="99" t="s">
        <v>20</v>
      </c>
      <c r="F85" s="100" t="s">
        <v>701</v>
      </c>
      <c r="G85" s="98"/>
      <c r="H85" s="98"/>
      <c r="I85" s="98"/>
      <c r="J85" s="101" t="s">
        <v>1015</v>
      </c>
      <c r="K85" s="98" t="s">
        <v>1085</v>
      </c>
      <c r="L85" s="98" t="s">
        <v>719</v>
      </c>
      <c r="M85" s="109"/>
      <c r="N85" s="109"/>
      <c r="O85" s="98" t="s">
        <v>720</v>
      </c>
      <c r="P85" s="103"/>
      <c r="Q85" s="103"/>
      <c r="R85" s="98"/>
      <c r="S85" s="98"/>
      <c r="T85" s="98"/>
      <c r="U85" s="104">
        <v>0.93</v>
      </c>
      <c r="V85" s="104"/>
      <c r="W85" s="104"/>
      <c r="X85" s="101">
        <f t="shared" si="2"/>
        <v>0.93</v>
      </c>
      <c r="Y85" s="110">
        <v>2.7</v>
      </c>
      <c r="Z85" s="106" t="str">
        <f t="shared" si="3"/>
        <v>F</v>
      </c>
      <c r="AA85" s="118"/>
      <c r="AB85" s="118"/>
      <c r="AC85" s="118"/>
      <c r="AD85" s="118"/>
    </row>
    <row r="86" spans="1:30" s="107" customFormat="1">
      <c r="A86" s="97">
        <v>181</v>
      </c>
      <c r="B86" s="98" t="s">
        <v>766</v>
      </c>
      <c r="C86" s="98">
        <v>2009</v>
      </c>
      <c r="D86" s="112" t="s">
        <v>767</v>
      </c>
      <c r="E86" s="112" t="s">
        <v>49</v>
      </c>
      <c r="F86" s="119" t="s">
        <v>793</v>
      </c>
      <c r="G86" s="98" t="s">
        <v>804</v>
      </c>
      <c r="H86" s="108" t="s">
        <v>38</v>
      </c>
      <c r="I86" s="108"/>
      <c r="J86" s="108" t="s">
        <v>1015</v>
      </c>
      <c r="K86" s="108" t="s">
        <v>1019</v>
      </c>
      <c r="L86" s="119" t="s">
        <v>496</v>
      </c>
      <c r="M86" s="119" t="s">
        <v>533</v>
      </c>
      <c r="N86" s="119"/>
      <c r="O86" s="119" t="s">
        <v>805</v>
      </c>
      <c r="P86" s="119"/>
      <c r="Q86" s="119"/>
      <c r="R86" s="98"/>
      <c r="S86" s="98"/>
      <c r="T86" s="98"/>
      <c r="U86" s="119">
        <v>0.92800000000000005</v>
      </c>
      <c r="V86" s="120"/>
      <c r="W86" s="120"/>
      <c r="X86" s="101">
        <f t="shared" si="2"/>
        <v>0.92800000000000005</v>
      </c>
      <c r="Y86" s="121">
        <v>2.3130155829999999</v>
      </c>
      <c r="Z86" s="106" t="str">
        <f t="shared" si="3"/>
        <v>F</v>
      </c>
    </row>
    <row r="87" spans="1:30" s="107" customFormat="1">
      <c r="A87" s="97">
        <v>134</v>
      </c>
      <c r="B87" s="98" t="s">
        <v>322</v>
      </c>
      <c r="C87" s="126">
        <v>1999</v>
      </c>
      <c r="D87" s="108" t="s">
        <v>493</v>
      </c>
      <c r="E87" s="99" t="s">
        <v>410</v>
      </c>
      <c r="F87" s="127">
        <v>35546</v>
      </c>
      <c r="G87" s="98" t="s">
        <v>495</v>
      </c>
      <c r="H87" s="98" t="s">
        <v>41</v>
      </c>
      <c r="I87" s="98"/>
      <c r="J87" s="98" t="s">
        <v>1015</v>
      </c>
      <c r="K87" s="98" t="s">
        <v>1015</v>
      </c>
      <c r="L87" s="114" t="s">
        <v>496</v>
      </c>
      <c r="M87" s="98" t="s">
        <v>497</v>
      </c>
      <c r="N87" s="98" t="s">
        <v>499</v>
      </c>
      <c r="O87" s="98"/>
      <c r="P87" s="98"/>
      <c r="Q87" s="98"/>
      <c r="R87" s="98"/>
      <c r="S87" s="98"/>
      <c r="T87" s="98"/>
      <c r="U87" s="98">
        <v>0.92700000000000005</v>
      </c>
      <c r="V87" s="128"/>
      <c r="W87" s="128"/>
      <c r="X87" s="101">
        <f t="shared" si="2"/>
        <v>0.92700000000000005</v>
      </c>
      <c r="Y87" s="122">
        <v>5.18</v>
      </c>
      <c r="Z87" s="106" t="str">
        <f t="shared" si="3"/>
        <v>F</v>
      </c>
    </row>
    <row r="88" spans="1:30" s="107" customFormat="1">
      <c r="A88" s="97">
        <v>134</v>
      </c>
      <c r="B88" s="98" t="s">
        <v>322</v>
      </c>
      <c r="C88" s="126">
        <v>1999</v>
      </c>
      <c r="D88" s="108" t="s">
        <v>493</v>
      </c>
      <c r="E88" s="99" t="s">
        <v>410</v>
      </c>
      <c r="F88" s="127">
        <v>35534</v>
      </c>
      <c r="G88" s="98" t="s">
        <v>495</v>
      </c>
      <c r="H88" s="98" t="s">
        <v>41</v>
      </c>
      <c r="I88" s="98"/>
      <c r="J88" s="98" t="s">
        <v>1015</v>
      </c>
      <c r="K88" s="98" t="s">
        <v>1015</v>
      </c>
      <c r="L88" s="114" t="s">
        <v>496</v>
      </c>
      <c r="M88" s="98" t="s">
        <v>497</v>
      </c>
      <c r="N88" s="98" t="s">
        <v>498</v>
      </c>
      <c r="O88" s="98"/>
      <c r="P88" s="98"/>
      <c r="Q88" s="98"/>
      <c r="R88" s="98"/>
      <c r="S88" s="98"/>
      <c r="T88" s="98"/>
      <c r="U88" s="98">
        <v>0.92500000000000004</v>
      </c>
      <c r="V88" s="128"/>
      <c r="W88" s="128"/>
      <c r="X88" s="101">
        <f t="shared" si="2"/>
        <v>0.92500000000000004</v>
      </c>
      <c r="Y88" s="122">
        <v>3.73</v>
      </c>
      <c r="Z88" s="106" t="str">
        <f t="shared" si="3"/>
        <v>F</v>
      </c>
    </row>
    <row r="89" spans="1:30" s="118" customFormat="1">
      <c r="A89" s="101"/>
      <c r="B89" s="123" t="s">
        <v>992</v>
      </c>
      <c r="C89" s="103">
        <v>2013</v>
      </c>
      <c r="D89" s="101"/>
      <c r="E89" s="123" t="s">
        <v>172</v>
      </c>
      <c r="F89" s="101"/>
      <c r="G89" s="101"/>
      <c r="H89" s="101" t="s">
        <v>771</v>
      </c>
      <c r="I89" s="101"/>
      <c r="J89" s="124" t="s">
        <v>1015</v>
      </c>
      <c r="K89" s="101" t="s">
        <v>1021</v>
      </c>
      <c r="L89" s="103" t="s">
        <v>994</v>
      </c>
      <c r="M89" s="101"/>
      <c r="N89" s="101"/>
      <c r="O89" s="101"/>
      <c r="P89" s="101"/>
      <c r="Q89" s="101"/>
      <c r="R89" s="101"/>
      <c r="S89" s="101"/>
      <c r="T89" s="101"/>
      <c r="U89" s="101">
        <v>0.91900000000000004</v>
      </c>
      <c r="V89" s="101"/>
      <c r="W89" s="101"/>
      <c r="X89" s="101">
        <f t="shared" si="2"/>
        <v>0.91900000000000004</v>
      </c>
      <c r="Y89" s="125">
        <v>2.08</v>
      </c>
      <c r="Z89" s="106" t="str">
        <f t="shared" si="3"/>
        <v>F</v>
      </c>
    </row>
    <row r="90" spans="1:30" s="118" customFormat="1">
      <c r="A90" s="97">
        <v>181</v>
      </c>
      <c r="B90" s="98" t="s">
        <v>766</v>
      </c>
      <c r="C90" s="98">
        <v>2009</v>
      </c>
      <c r="D90" s="112" t="s">
        <v>767</v>
      </c>
      <c r="E90" s="113" t="s">
        <v>49</v>
      </c>
      <c r="F90" s="114" t="s">
        <v>793</v>
      </c>
      <c r="G90" s="98" t="s">
        <v>770</v>
      </c>
      <c r="H90" s="115" t="s">
        <v>771</v>
      </c>
      <c r="I90" s="115"/>
      <c r="J90" s="115" t="s">
        <v>1015</v>
      </c>
      <c r="K90" s="115" t="s">
        <v>1021</v>
      </c>
      <c r="L90" s="114" t="s">
        <v>496</v>
      </c>
      <c r="M90" s="114" t="s">
        <v>809</v>
      </c>
      <c r="N90" s="114"/>
      <c r="O90" s="114" t="s">
        <v>845</v>
      </c>
      <c r="P90" s="114"/>
      <c r="Q90" s="114"/>
      <c r="R90" s="98"/>
      <c r="S90" s="98"/>
      <c r="T90" s="98"/>
      <c r="U90" s="114">
        <v>0.91800000000000004</v>
      </c>
      <c r="V90" s="116"/>
      <c r="W90" s="116"/>
      <c r="X90" s="101">
        <f t="shared" si="2"/>
        <v>0.91800000000000004</v>
      </c>
      <c r="Y90" s="117">
        <v>3.3909730109999998</v>
      </c>
      <c r="Z90" s="106" t="str">
        <f t="shared" si="3"/>
        <v>F</v>
      </c>
      <c r="AA90" s="107"/>
      <c r="AB90" s="107"/>
      <c r="AC90" s="107"/>
      <c r="AD90" s="107"/>
    </row>
    <row r="91" spans="1:30" s="118" customFormat="1">
      <c r="A91" s="97">
        <v>181</v>
      </c>
      <c r="B91" s="98" t="s">
        <v>766</v>
      </c>
      <c r="C91" s="98">
        <v>2009</v>
      </c>
      <c r="D91" s="112" t="s">
        <v>767</v>
      </c>
      <c r="E91" s="113" t="s">
        <v>49</v>
      </c>
      <c r="F91" s="114" t="s">
        <v>769</v>
      </c>
      <c r="G91" s="98" t="s">
        <v>796</v>
      </c>
      <c r="H91" s="115" t="s">
        <v>771</v>
      </c>
      <c r="I91" s="115"/>
      <c r="J91" s="115" t="s">
        <v>1015</v>
      </c>
      <c r="K91" s="115" t="s">
        <v>1015</v>
      </c>
      <c r="L91" s="114" t="s">
        <v>496</v>
      </c>
      <c r="M91" s="114" t="s">
        <v>797</v>
      </c>
      <c r="N91" s="114" t="s">
        <v>165</v>
      </c>
      <c r="O91" s="114" t="s">
        <v>798</v>
      </c>
      <c r="P91" s="114"/>
      <c r="Q91" s="114"/>
      <c r="R91" s="98"/>
      <c r="S91" s="98"/>
      <c r="T91" s="98"/>
      <c r="U91" s="114">
        <v>0.91500000000000004</v>
      </c>
      <c r="V91" s="116"/>
      <c r="W91" s="116"/>
      <c r="X91" s="101">
        <f t="shared" si="2"/>
        <v>0.91500000000000004</v>
      </c>
      <c r="Y91" s="117">
        <v>2.8889294190000001</v>
      </c>
      <c r="Z91" s="106" t="str">
        <f t="shared" si="3"/>
        <v>F</v>
      </c>
      <c r="AA91" s="107"/>
      <c r="AB91" s="107"/>
      <c r="AC91" s="107"/>
      <c r="AD91" s="107"/>
    </row>
    <row r="92" spans="1:30" s="118" customFormat="1">
      <c r="A92" s="97">
        <v>173</v>
      </c>
      <c r="B92" s="98" t="s">
        <v>585</v>
      </c>
      <c r="C92" s="98">
        <v>2011</v>
      </c>
      <c r="D92" s="108" t="s">
        <v>636</v>
      </c>
      <c r="E92" s="99" t="s">
        <v>681</v>
      </c>
      <c r="F92" s="100" t="s">
        <v>690</v>
      </c>
      <c r="G92" s="98" t="s">
        <v>643</v>
      </c>
      <c r="H92" s="98" t="s">
        <v>41</v>
      </c>
      <c r="I92" s="98"/>
      <c r="J92" s="98" t="s">
        <v>1015</v>
      </c>
      <c r="K92" s="98" t="s">
        <v>1143</v>
      </c>
      <c r="L92" s="98" t="s">
        <v>693</v>
      </c>
      <c r="M92" s="109"/>
      <c r="N92" s="109"/>
      <c r="O92" s="98" t="s">
        <v>694</v>
      </c>
      <c r="P92" s="103"/>
      <c r="Q92" s="103"/>
      <c r="R92" s="98"/>
      <c r="S92" s="98"/>
      <c r="T92" s="98"/>
      <c r="U92" s="104">
        <v>0.91400000000000003</v>
      </c>
      <c r="V92" s="104"/>
      <c r="W92" s="104"/>
      <c r="X92" s="101">
        <f t="shared" si="2"/>
        <v>0.91400000000000003</v>
      </c>
      <c r="Y92" s="122">
        <v>1.7</v>
      </c>
      <c r="Z92" s="106" t="str">
        <f t="shared" si="3"/>
        <v>F</v>
      </c>
    </row>
    <row r="93" spans="1:30" s="118" customFormat="1">
      <c r="A93" s="97">
        <v>181</v>
      </c>
      <c r="B93" s="98" t="s">
        <v>766</v>
      </c>
      <c r="C93" s="98">
        <v>2009</v>
      </c>
      <c r="D93" s="112" t="s">
        <v>767</v>
      </c>
      <c r="E93" s="113" t="s">
        <v>49</v>
      </c>
      <c r="F93" s="114" t="s">
        <v>808</v>
      </c>
      <c r="G93" s="98" t="s">
        <v>794</v>
      </c>
      <c r="H93" s="115" t="s">
        <v>41</v>
      </c>
      <c r="I93" s="115"/>
      <c r="J93" s="115" t="s">
        <v>1015</v>
      </c>
      <c r="K93" s="115" t="s">
        <v>1015</v>
      </c>
      <c r="L93" s="114" t="s">
        <v>496</v>
      </c>
      <c r="M93" s="114" t="s">
        <v>497</v>
      </c>
      <c r="N93" s="114" t="s">
        <v>851</v>
      </c>
      <c r="O93" s="114" t="s">
        <v>852</v>
      </c>
      <c r="P93" s="114"/>
      <c r="Q93" s="114"/>
      <c r="R93" s="98"/>
      <c r="S93" s="98"/>
      <c r="T93" s="98"/>
      <c r="U93" s="114">
        <v>0.90400000000000003</v>
      </c>
      <c r="V93" s="116"/>
      <c r="W93" s="116"/>
      <c r="X93" s="101">
        <f t="shared" si="2"/>
        <v>0.90400000000000003</v>
      </c>
      <c r="Y93" s="117">
        <v>2.9997843639999999</v>
      </c>
      <c r="Z93" s="106" t="str">
        <f t="shared" si="3"/>
        <v>F</v>
      </c>
      <c r="AA93" s="107"/>
      <c r="AB93" s="107"/>
      <c r="AC93" s="107"/>
      <c r="AD93" s="107"/>
    </row>
    <row r="94" spans="1:30" s="118" customFormat="1">
      <c r="A94" s="101"/>
      <c r="B94" s="123" t="s">
        <v>992</v>
      </c>
      <c r="C94" s="103">
        <v>2013</v>
      </c>
      <c r="D94" s="101"/>
      <c r="E94" s="123" t="s">
        <v>172</v>
      </c>
      <c r="F94" s="101"/>
      <c r="G94" s="101"/>
      <c r="H94" s="101" t="s">
        <v>771</v>
      </c>
      <c r="I94" s="101"/>
      <c r="J94" s="124" t="s">
        <v>1015</v>
      </c>
      <c r="K94" s="101" t="s">
        <v>1019</v>
      </c>
      <c r="L94" s="103" t="s">
        <v>996</v>
      </c>
      <c r="M94" s="101"/>
      <c r="N94" s="101"/>
      <c r="O94" s="101"/>
      <c r="P94" s="101"/>
      <c r="Q94" s="101"/>
      <c r="R94" s="101"/>
      <c r="S94" s="101"/>
      <c r="T94" s="101"/>
      <c r="U94" s="101">
        <v>0.90400000000000003</v>
      </c>
      <c r="V94" s="101"/>
      <c r="W94" s="101"/>
      <c r="X94" s="101">
        <f t="shared" si="2"/>
        <v>0.90400000000000003</v>
      </c>
      <c r="Y94" s="125">
        <v>6.66</v>
      </c>
      <c r="Z94" s="106" t="str">
        <f t="shared" si="3"/>
        <v>F</v>
      </c>
    </row>
    <row r="95" spans="1:30" s="118" customFormat="1">
      <c r="A95" s="97">
        <v>172</v>
      </c>
      <c r="B95" s="98" t="s">
        <v>585</v>
      </c>
      <c r="C95" s="98">
        <v>2010</v>
      </c>
      <c r="D95" s="98" t="s">
        <v>586</v>
      </c>
      <c r="E95" s="99" t="s">
        <v>589</v>
      </c>
      <c r="F95" s="100">
        <v>40227</v>
      </c>
      <c r="G95" s="98" t="s">
        <v>616</v>
      </c>
      <c r="H95" s="98" t="s">
        <v>38</v>
      </c>
      <c r="I95" s="98"/>
      <c r="J95" s="101" t="s">
        <v>1015</v>
      </c>
      <c r="K95" s="101" t="s">
        <v>1067</v>
      </c>
      <c r="L95" s="98" t="s">
        <v>617</v>
      </c>
      <c r="M95" s="102"/>
      <c r="N95" s="102"/>
      <c r="O95" s="98"/>
      <c r="P95" s="103"/>
      <c r="Q95" s="103"/>
      <c r="R95" s="98"/>
      <c r="S95" s="98"/>
      <c r="T95" s="98"/>
      <c r="U95" s="103">
        <v>0.89400000000000002</v>
      </c>
      <c r="V95" s="104"/>
      <c r="W95" s="104"/>
      <c r="X95" s="101">
        <f t="shared" si="2"/>
        <v>0.89400000000000002</v>
      </c>
      <c r="Y95" s="105">
        <v>4.2480000000000002</v>
      </c>
      <c r="Z95" s="106" t="str">
        <f t="shared" si="3"/>
        <v>S</v>
      </c>
      <c r="AA95" s="107"/>
      <c r="AB95" s="107"/>
      <c r="AC95" s="107"/>
      <c r="AD95" s="107"/>
    </row>
    <row r="96" spans="1:30" s="118" customFormat="1">
      <c r="A96" s="97">
        <v>173</v>
      </c>
      <c r="B96" s="98" t="s">
        <v>585</v>
      </c>
      <c r="C96" s="98">
        <v>2011</v>
      </c>
      <c r="D96" s="108" t="s">
        <v>636</v>
      </c>
      <c r="E96" s="99" t="s">
        <v>681</v>
      </c>
      <c r="F96" s="100" t="s">
        <v>690</v>
      </c>
      <c r="G96" s="98" t="s">
        <v>643</v>
      </c>
      <c r="H96" s="98" t="s">
        <v>41</v>
      </c>
      <c r="I96" s="98"/>
      <c r="J96" s="98" t="s">
        <v>1015</v>
      </c>
      <c r="K96" s="98" t="s">
        <v>1067</v>
      </c>
      <c r="L96" s="98" t="s">
        <v>39</v>
      </c>
      <c r="M96" s="109"/>
      <c r="N96" s="109"/>
      <c r="O96" s="98" t="s">
        <v>692</v>
      </c>
      <c r="P96" s="103"/>
      <c r="Q96" s="103"/>
      <c r="R96" s="98"/>
      <c r="S96" s="98"/>
      <c r="T96" s="98"/>
      <c r="U96" s="104">
        <v>0.86399999999999999</v>
      </c>
      <c r="V96" s="104"/>
      <c r="W96" s="104"/>
      <c r="X96" s="101">
        <f t="shared" si="2"/>
        <v>0.86399999999999999</v>
      </c>
      <c r="Y96" s="122">
        <v>2.2400000000000002</v>
      </c>
      <c r="Z96" s="106" t="str">
        <f t="shared" si="3"/>
        <v>S</v>
      </c>
      <c r="AA96" s="107"/>
      <c r="AB96" s="107"/>
      <c r="AC96" s="107"/>
      <c r="AD96" s="107"/>
    </row>
    <row r="97" spans="1:33" s="118" customFormat="1">
      <c r="A97" s="101"/>
      <c r="B97" s="123" t="s">
        <v>992</v>
      </c>
      <c r="C97" s="103">
        <v>2013</v>
      </c>
      <c r="D97" s="101"/>
      <c r="E97" s="123" t="s">
        <v>49</v>
      </c>
      <c r="F97" s="101"/>
      <c r="G97" s="101"/>
      <c r="H97" s="101" t="s">
        <v>771</v>
      </c>
      <c r="I97" s="101"/>
      <c r="J97" s="124" t="s">
        <v>1015</v>
      </c>
      <c r="K97" s="101" t="s">
        <v>1021</v>
      </c>
      <c r="L97" s="103" t="s">
        <v>994</v>
      </c>
      <c r="M97" s="101"/>
      <c r="N97" s="101"/>
      <c r="O97" s="101"/>
      <c r="P97" s="101"/>
      <c r="Q97" s="101"/>
      <c r="R97" s="101"/>
      <c r="S97" s="101"/>
      <c r="T97" s="101"/>
      <c r="U97" s="101">
        <v>0.85799999999999998</v>
      </c>
      <c r="V97" s="101"/>
      <c r="W97" s="101"/>
      <c r="X97" s="101">
        <f t="shared" si="2"/>
        <v>0.85799999999999998</v>
      </c>
      <c r="Y97" s="125">
        <v>11.5</v>
      </c>
      <c r="Z97" s="106" t="str">
        <f t="shared" si="3"/>
        <v>S</v>
      </c>
    </row>
    <row r="98" spans="1:33" s="107" customFormat="1">
      <c r="A98" s="97">
        <v>173</v>
      </c>
      <c r="B98" s="98" t="s">
        <v>585</v>
      </c>
      <c r="C98" s="98">
        <v>2011</v>
      </c>
      <c r="D98" s="108" t="s">
        <v>636</v>
      </c>
      <c r="E98" s="99" t="s">
        <v>681</v>
      </c>
      <c r="F98" s="100" t="s">
        <v>690</v>
      </c>
      <c r="G98" s="98" t="s">
        <v>643</v>
      </c>
      <c r="H98" s="98" t="s">
        <v>41</v>
      </c>
      <c r="I98" s="98"/>
      <c r="J98" s="98" t="s">
        <v>1015</v>
      </c>
      <c r="K98" s="98" t="s">
        <v>1143</v>
      </c>
      <c r="L98" s="98" t="s">
        <v>693</v>
      </c>
      <c r="M98" s="109"/>
      <c r="N98" s="109"/>
      <c r="O98" s="98" t="s">
        <v>695</v>
      </c>
      <c r="P98" s="103"/>
      <c r="Q98" s="103"/>
      <c r="R98" s="98"/>
      <c r="S98" s="98"/>
      <c r="T98" s="98"/>
      <c r="U98" s="104">
        <v>0.84899999999999998</v>
      </c>
      <c r="V98" s="104"/>
      <c r="W98" s="104"/>
      <c r="X98" s="101">
        <f t="shared" si="2"/>
        <v>0.84899999999999998</v>
      </c>
      <c r="Y98" s="122">
        <v>2.89</v>
      </c>
      <c r="Z98" s="106" t="str">
        <f t="shared" si="3"/>
        <v>S</v>
      </c>
      <c r="AA98" s="118"/>
      <c r="AB98" s="118"/>
      <c r="AC98" s="118"/>
      <c r="AD98" s="118"/>
    </row>
    <row r="99" spans="1:33" s="107" customFormat="1">
      <c r="A99" s="101"/>
      <c r="B99" s="123" t="s">
        <v>992</v>
      </c>
      <c r="C99" s="103">
        <v>2013</v>
      </c>
      <c r="D99" s="101"/>
      <c r="E99" s="123" t="s">
        <v>49</v>
      </c>
      <c r="F99" s="101"/>
      <c r="G99" s="101"/>
      <c r="H99" s="101" t="s">
        <v>771</v>
      </c>
      <c r="I99" s="101"/>
      <c r="J99" s="124" t="s">
        <v>1015</v>
      </c>
      <c r="K99" s="101" t="s">
        <v>1021</v>
      </c>
      <c r="L99" s="103" t="s">
        <v>993</v>
      </c>
      <c r="M99" s="101"/>
      <c r="N99" s="101"/>
      <c r="O99" s="101"/>
      <c r="P99" s="101"/>
      <c r="Q99" s="101"/>
      <c r="R99" s="101"/>
      <c r="S99" s="101"/>
      <c r="T99" s="101"/>
      <c r="U99" s="101">
        <v>0.82599999999999996</v>
      </c>
      <c r="V99" s="101"/>
      <c r="W99" s="101"/>
      <c r="X99" s="101">
        <f t="shared" si="2"/>
        <v>0.82599999999999996</v>
      </c>
      <c r="Y99" s="125">
        <v>5.2</v>
      </c>
      <c r="Z99" s="106" t="str">
        <f t="shared" si="3"/>
        <v>S</v>
      </c>
      <c r="AA99" s="118"/>
      <c r="AB99" s="118"/>
      <c r="AC99" s="118"/>
      <c r="AD99" s="118"/>
    </row>
    <row r="100" spans="1:33" s="118" customFormat="1">
      <c r="A100" s="124"/>
      <c r="B100" s="123" t="s">
        <v>1000</v>
      </c>
      <c r="C100" s="103">
        <v>2013</v>
      </c>
      <c r="D100" s="124"/>
      <c r="E100" s="123" t="s">
        <v>49</v>
      </c>
      <c r="F100" s="124"/>
      <c r="G100" s="124"/>
      <c r="H100" s="124" t="s">
        <v>41</v>
      </c>
      <c r="I100" s="124"/>
      <c r="J100" s="101" t="s">
        <v>1015</v>
      </c>
      <c r="K100" s="114" t="s">
        <v>1016</v>
      </c>
      <c r="L100" s="103" t="s">
        <v>709</v>
      </c>
      <c r="M100" s="124" t="s">
        <v>1001</v>
      </c>
      <c r="N100" s="124"/>
      <c r="O100" s="124"/>
      <c r="P100" s="124"/>
      <c r="Q100" s="124"/>
      <c r="R100" s="124"/>
      <c r="S100" s="124"/>
      <c r="T100" s="124"/>
      <c r="U100" s="124">
        <v>0.82</v>
      </c>
      <c r="V100" s="124"/>
      <c r="W100" s="124"/>
      <c r="X100" s="101">
        <f t="shared" si="2"/>
        <v>0.82</v>
      </c>
      <c r="Y100" s="125">
        <v>24.1</v>
      </c>
      <c r="Z100" s="106" t="str">
        <f t="shared" si="3"/>
        <v>S</v>
      </c>
    </row>
    <row r="101" spans="1:33" s="118" customFormat="1">
      <c r="A101" s="97">
        <v>173</v>
      </c>
      <c r="B101" s="98" t="s">
        <v>585</v>
      </c>
      <c r="C101" s="98">
        <v>2011</v>
      </c>
      <c r="D101" s="108" t="s">
        <v>636</v>
      </c>
      <c r="E101" s="99" t="s">
        <v>681</v>
      </c>
      <c r="F101" s="100" t="s">
        <v>690</v>
      </c>
      <c r="G101" s="98" t="s">
        <v>643</v>
      </c>
      <c r="H101" s="98" t="s">
        <v>41</v>
      </c>
      <c r="I101" s="98"/>
      <c r="J101" s="98" t="s">
        <v>1015</v>
      </c>
      <c r="K101" s="98" t="s">
        <v>1143</v>
      </c>
      <c r="L101" s="98" t="s">
        <v>693</v>
      </c>
      <c r="M101" s="109"/>
      <c r="N101" s="109"/>
      <c r="O101" s="98" t="s">
        <v>696</v>
      </c>
      <c r="P101" s="103"/>
      <c r="Q101" s="103"/>
      <c r="R101" s="98"/>
      <c r="S101" s="98"/>
      <c r="T101" s="98"/>
      <c r="U101" s="104">
        <v>0.79400000000000004</v>
      </c>
      <c r="V101" s="104"/>
      <c r="W101" s="104"/>
      <c r="X101" s="101">
        <f t="shared" si="2"/>
        <v>0.79400000000000004</v>
      </c>
      <c r="Y101" s="122">
        <v>2.2000000000000002</v>
      </c>
      <c r="Z101" s="106" t="str">
        <f t="shared" si="3"/>
        <v>S</v>
      </c>
    </row>
    <row r="102" spans="1:33" s="118" customFormat="1">
      <c r="A102" s="101"/>
      <c r="B102" s="123" t="s">
        <v>992</v>
      </c>
      <c r="C102" s="103">
        <v>2013</v>
      </c>
      <c r="D102" s="101"/>
      <c r="E102" s="123" t="s">
        <v>49</v>
      </c>
      <c r="F102" s="101"/>
      <c r="G102" s="101"/>
      <c r="H102" s="101" t="s">
        <v>771</v>
      </c>
      <c r="I102" s="101"/>
      <c r="J102" s="124" t="s">
        <v>1015</v>
      </c>
      <c r="K102" s="101" t="s">
        <v>1021</v>
      </c>
      <c r="L102" s="103" t="s">
        <v>995</v>
      </c>
      <c r="M102" s="101"/>
      <c r="N102" s="101"/>
      <c r="O102" s="101"/>
      <c r="P102" s="101"/>
      <c r="Q102" s="101"/>
      <c r="R102" s="101"/>
      <c r="S102" s="101"/>
      <c r="T102" s="101"/>
      <c r="U102" s="101">
        <v>0.78900000000000003</v>
      </c>
      <c r="V102" s="101"/>
      <c r="W102" s="101"/>
      <c r="X102" s="101">
        <f t="shared" si="2"/>
        <v>0.78900000000000003</v>
      </c>
      <c r="Y102" s="125">
        <v>10.34</v>
      </c>
      <c r="Z102" s="106" t="str">
        <f t="shared" si="3"/>
        <v>S</v>
      </c>
    </row>
    <row r="103" spans="1:33" s="118" customFormat="1">
      <c r="A103" s="101"/>
      <c r="B103" s="123" t="s">
        <v>1000</v>
      </c>
      <c r="C103" s="103">
        <v>2013</v>
      </c>
      <c r="D103" s="101"/>
      <c r="E103" s="123" t="s">
        <v>49</v>
      </c>
      <c r="F103" s="101"/>
      <c r="G103" s="101"/>
      <c r="H103" s="101" t="s">
        <v>41</v>
      </c>
      <c r="I103" s="101"/>
      <c r="J103" s="101" t="s">
        <v>1015</v>
      </c>
      <c r="K103" s="114" t="s">
        <v>1016</v>
      </c>
      <c r="L103" s="103" t="s">
        <v>709</v>
      </c>
      <c r="M103" s="101" t="s">
        <v>1001</v>
      </c>
      <c r="N103" s="101"/>
      <c r="O103" s="101"/>
      <c r="P103" s="101"/>
      <c r="Q103" s="101"/>
      <c r="R103" s="101"/>
      <c r="S103" s="101"/>
      <c r="T103" s="101"/>
      <c r="U103" s="101">
        <v>0.76</v>
      </c>
      <c r="V103" s="101"/>
      <c r="W103" s="101"/>
      <c r="X103" s="101">
        <f t="shared" si="2"/>
        <v>0.76</v>
      </c>
      <c r="Y103" s="125">
        <v>15.8</v>
      </c>
      <c r="Z103" s="106" t="str">
        <f t="shared" si="3"/>
        <v>S</v>
      </c>
    </row>
    <row r="104" spans="1:33" s="255" customFormat="1">
      <c r="A104" s="140">
        <v>173</v>
      </c>
      <c r="B104" s="143" t="s">
        <v>585</v>
      </c>
      <c r="C104" s="143">
        <v>2011</v>
      </c>
      <c r="D104" s="250" t="s">
        <v>636</v>
      </c>
      <c r="E104" s="142" t="s">
        <v>681</v>
      </c>
      <c r="F104" s="251" t="s">
        <v>682</v>
      </c>
      <c r="G104" s="143" t="s">
        <v>495</v>
      </c>
      <c r="H104" s="143" t="s">
        <v>41</v>
      </c>
      <c r="I104" s="143"/>
      <c r="J104" s="143" t="s">
        <v>1015</v>
      </c>
      <c r="K104" s="143" t="s">
        <v>1142</v>
      </c>
      <c r="L104" s="143" t="s">
        <v>683</v>
      </c>
      <c r="M104" s="252"/>
      <c r="N104" s="252"/>
      <c r="O104" s="143" t="s">
        <v>684</v>
      </c>
      <c r="P104" s="141"/>
      <c r="Q104" s="141"/>
      <c r="R104" s="143"/>
      <c r="S104" s="143"/>
      <c r="T104" s="143"/>
      <c r="U104" s="253">
        <v>0.75900000000000001</v>
      </c>
      <c r="V104" s="253"/>
      <c r="W104" s="253"/>
      <c r="X104" s="144">
        <f t="shared" si="2"/>
        <v>0.75900000000000001</v>
      </c>
      <c r="Y104" s="254">
        <v>15.95</v>
      </c>
      <c r="Z104" s="146" t="str">
        <f t="shared" si="3"/>
        <v>S</v>
      </c>
      <c r="AA104" s="256"/>
      <c r="AB104" s="256" t="s">
        <v>1179</v>
      </c>
      <c r="AC104" s="256" t="s">
        <v>1182</v>
      </c>
      <c r="AD104" s="256" t="s">
        <v>1183</v>
      </c>
      <c r="AE104" s="247" t="s">
        <v>1184</v>
      </c>
      <c r="AF104" s="256" t="s">
        <v>1185</v>
      </c>
      <c r="AG104" s="247" t="s">
        <v>1186</v>
      </c>
    </row>
    <row r="105" spans="1:33" s="255" customFormat="1">
      <c r="A105" s="140">
        <v>173</v>
      </c>
      <c r="B105" s="143" t="s">
        <v>585</v>
      </c>
      <c r="C105" s="143">
        <v>2011</v>
      </c>
      <c r="D105" s="250" t="s">
        <v>636</v>
      </c>
      <c r="E105" s="142" t="s">
        <v>681</v>
      </c>
      <c r="F105" s="251" t="s">
        <v>682</v>
      </c>
      <c r="G105" s="143" t="s">
        <v>495</v>
      </c>
      <c r="H105" s="143" t="s">
        <v>41</v>
      </c>
      <c r="I105" s="143"/>
      <c r="J105" s="143" t="s">
        <v>1015</v>
      </c>
      <c r="K105" s="143" t="s">
        <v>1142</v>
      </c>
      <c r="L105" s="143" t="s">
        <v>683</v>
      </c>
      <c r="M105" s="252"/>
      <c r="N105" s="252"/>
      <c r="O105" s="143" t="s">
        <v>685</v>
      </c>
      <c r="P105" s="141"/>
      <c r="Q105" s="141"/>
      <c r="R105" s="143"/>
      <c r="S105" s="143"/>
      <c r="T105" s="143"/>
      <c r="U105" s="253">
        <v>0.79600000000000004</v>
      </c>
      <c r="V105" s="253"/>
      <c r="W105" s="253"/>
      <c r="X105" s="144">
        <f t="shared" si="2"/>
        <v>0.79600000000000004</v>
      </c>
      <c r="Y105" s="254">
        <v>19.559999999999999</v>
      </c>
      <c r="Z105" s="146" t="str">
        <f t="shared" si="3"/>
        <v>S</v>
      </c>
      <c r="AA105" s="256" t="s">
        <v>1142</v>
      </c>
      <c r="AB105" s="248">
        <f>AVERAGE($Y$104:$Y$108)</f>
        <v>22.404</v>
      </c>
      <c r="AC105" s="248">
        <f>MEDIAN($Y$104:$Y$108)</f>
        <v>18.670000000000002</v>
      </c>
      <c r="AD105" s="248">
        <f>MAX($Y$104:$Y$108)</f>
        <v>42.47</v>
      </c>
      <c r="AE105" s="248">
        <f>MIN($Y$104:$Y$108)</f>
        <v>15.37</v>
      </c>
      <c r="AF105" s="248">
        <f>STDEV($Y$104:$Y$108)</f>
        <v>11.355689322978153</v>
      </c>
      <c r="AG105" s="248">
        <f>COUNT($Y$104:$Y$108)</f>
        <v>5</v>
      </c>
    </row>
    <row r="106" spans="1:33" s="255" customFormat="1">
      <c r="A106" s="140">
        <v>173</v>
      </c>
      <c r="B106" s="143" t="s">
        <v>585</v>
      </c>
      <c r="C106" s="143">
        <v>2011</v>
      </c>
      <c r="D106" s="250" t="s">
        <v>636</v>
      </c>
      <c r="E106" s="142" t="s">
        <v>681</v>
      </c>
      <c r="F106" s="251" t="s">
        <v>682</v>
      </c>
      <c r="G106" s="143" t="s">
        <v>495</v>
      </c>
      <c r="H106" s="143" t="s">
        <v>41</v>
      </c>
      <c r="I106" s="143"/>
      <c r="J106" s="143" t="s">
        <v>1015</v>
      </c>
      <c r="K106" s="143" t="s">
        <v>1142</v>
      </c>
      <c r="L106" s="143" t="s">
        <v>683</v>
      </c>
      <c r="M106" s="252"/>
      <c r="N106" s="252"/>
      <c r="O106" s="143" t="s">
        <v>687</v>
      </c>
      <c r="P106" s="141"/>
      <c r="Q106" s="141"/>
      <c r="R106" s="143"/>
      <c r="S106" s="143"/>
      <c r="T106" s="143"/>
      <c r="U106" s="253">
        <v>0.8</v>
      </c>
      <c r="V106" s="253"/>
      <c r="W106" s="253"/>
      <c r="X106" s="144">
        <f t="shared" si="2"/>
        <v>0.8</v>
      </c>
      <c r="Y106" s="254">
        <v>15.37</v>
      </c>
      <c r="Z106" s="146" t="str">
        <f t="shared" si="3"/>
        <v>S</v>
      </c>
      <c r="AA106" s="147"/>
      <c r="AB106" s="147"/>
      <c r="AC106" s="147"/>
      <c r="AD106" s="147"/>
    </row>
    <row r="107" spans="1:33" s="255" customFormat="1">
      <c r="A107" s="140">
        <v>173</v>
      </c>
      <c r="B107" s="143" t="s">
        <v>585</v>
      </c>
      <c r="C107" s="143">
        <v>2011</v>
      </c>
      <c r="D107" s="250" t="s">
        <v>636</v>
      </c>
      <c r="E107" s="142" t="s">
        <v>681</v>
      </c>
      <c r="F107" s="251" t="s">
        <v>682</v>
      </c>
      <c r="G107" s="143" t="s">
        <v>495</v>
      </c>
      <c r="H107" s="143" t="s">
        <v>41</v>
      </c>
      <c r="I107" s="143"/>
      <c r="J107" s="143" t="s">
        <v>1015</v>
      </c>
      <c r="K107" s="143" t="s">
        <v>1142</v>
      </c>
      <c r="L107" s="143" t="s">
        <v>683</v>
      </c>
      <c r="M107" s="252"/>
      <c r="N107" s="252"/>
      <c r="O107" s="143" t="s">
        <v>686</v>
      </c>
      <c r="P107" s="141"/>
      <c r="Q107" s="141"/>
      <c r="R107" s="143"/>
      <c r="S107" s="143"/>
      <c r="T107" s="143"/>
      <c r="U107" s="253">
        <v>0.82299999999999995</v>
      </c>
      <c r="V107" s="253"/>
      <c r="W107" s="253"/>
      <c r="X107" s="144">
        <f t="shared" si="2"/>
        <v>0.82299999999999995</v>
      </c>
      <c r="Y107" s="254">
        <v>18.670000000000002</v>
      </c>
      <c r="Z107" s="146" t="str">
        <f t="shared" si="3"/>
        <v>S</v>
      </c>
      <c r="AA107" s="147"/>
      <c r="AB107" s="147"/>
      <c r="AC107" s="147"/>
      <c r="AD107" s="147"/>
    </row>
    <row r="108" spans="1:33" s="255" customFormat="1">
      <c r="A108" s="140">
        <v>173</v>
      </c>
      <c r="B108" s="143" t="s">
        <v>585</v>
      </c>
      <c r="C108" s="143">
        <v>2011</v>
      </c>
      <c r="D108" s="250" t="s">
        <v>636</v>
      </c>
      <c r="E108" s="142" t="s">
        <v>681</v>
      </c>
      <c r="F108" s="251" t="s">
        <v>682</v>
      </c>
      <c r="G108" s="143" t="s">
        <v>495</v>
      </c>
      <c r="H108" s="143" t="s">
        <v>41</v>
      </c>
      <c r="I108" s="143"/>
      <c r="J108" s="143" t="s">
        <v>1015</v>
      </c>
      <c r="K108" s="143" t="s">
        <v>1142</v>
      </c>
      <c r="L108" s="143" t="s">
        <v>688</v>
      </c>
      <c r="M108" s="252"/>
      <c r="N108" s="252"/>
      <c r="O108" s="143" t="s">
        <v>689</v>
      </c>
      <c r="P108" s="141"/>
      <c r="Q108" s="141"/>
      <c r="R108" s="143"/>
      <c r="S108" s="143"/>
      <c r="T108" s="143"/>
      <c r="U108" s="253">
        <v>0.85</v>
      </c>
      <c r="V108" s="253"/>
      <c r="W108" s="253"/>
      <c r="X108" s="144">
        <f t="shared" si="2"/>
        <v>0.85</v>
      </c>
      <c r="Y108" s="254">
        <v>42.47</v>
      </c>
      <c r="Z108" s="146" t="str">
        <f t="shared" si="3"/>
        <v>S</v>
      </c>
    </row>
    <row r="109" spans="1:33" s="49" customFormat="1">
      <c r="A109" s="53">
        <v>172</v>
      </c>
      <c r="B109" s="54" t="s">
        <v>585</v>
      </c>
      <c r="C109" s="54">
        <v>2010</v>
      </c>
      <c r="D109" s="54" t="s">
        <v>586</v>
      </c>
      <c r="E109" s="56" t="s">
        <v>589</v>
      </c>
      <c r="F109" s="57">
        <v>40230</v>
      </c>
      <c r="G109" s="54" t="s">
        <v>495</v>
      </c>
      <c r="H109" s="54" t="s">
        <v>41</v>
      </c>
      <c r="I109" s="54"/>
      <c r="J109" s="66" t="s">
        <v>1071</v>
      </c>
      <c r="K109" s="54" t="s">
        <v>1072</v>
      </c>
      <c r="L109" s="54" t="s">
        <v>620</v>
      </c>
      <c r="M109" s="59" t="s">
        <v>621</v>
      </c>
      <c r="N109" s="59" t="s">
        <v>622</v>
      </c>
      <c r="O109" s="54"/>
      <c r="P109" s="60"/>
      <c r="Q109" s="60"/>
      <c r="R109" s="54"/>
      <c r="S109" s="54"/>
      <c r="T109" s="54"/>
      <c r="U109" s="60">
        <v>0.95299999999999996</v>
      </c>
      <c r="V109" s="61"/>
      <c r="W109" s="61"/>
      <c r="X109" s="58">
        <f t="shared" si="2"/>
        <v>0.95299999999999996</v>
      </c>
      <c r="Y109" s="89">
        <v>1.6859999999999999</v>
      </c>
      <c r="Z109" s="63" t="str">
        <f t="shared" si="3"/>
        <v>F</v>
      </c>
      <c r="AA109" s="246"/>
      <c r="AB109" s="154" t="s">
        <v>1179</v>
      </c>
      <c r="AC109" s="154" t="s">
        <v>1182</v>
      </c>
      <c r="AD109" s="154" t="s">
        <v>1183</v>
      </c>
      <c r="AE109" s="154" t="s">
        <v>1184</v>
      </c>
      <c r="AF109" s="154" t="s">
        <v>1185</v>
      </c>
      <c r="AG109" s="154" t="s">
        <v>1186</v>
      </c>
    </row>
    <row r="110" spans="1:33" s="49" customFormat="1">
      <c r="A110" s="53">
        <v>174</v>
      </c>
      <c r="B110" s="54" t="s">
        <v>697</v>
      </c>
      <c r="C110" s="54">
        <v>2009</v>
      </c>
      <c r="D110" s="55" t="s">
        <v>698</v>
      </c>
      <c r="E110" s="56" t="s">
        <v>20</v>
      </c>
      <c r="F110" s="57" t="s">
        <v>701</v>
      </c>
      <c r="G110" s="54" t="s">
        <v>708</v>
      </c>
      <c r="H110" s="54" t="s">
        <v>708</v>
      </c>
      <c r="I110" s="54"/>
      <c r="J110" s="58" t="s">
        <v>1071</v>
      </c>
      <c r="K110" s="54" t="s">
        <v>1088</v>
      </c>
      <c r="L110" s="54" t="s">
        <v>721</v>
      </c>
      <c r="M110" s="59"/>
      <c r="N110" s="59"/>
      <c r="O110" s="54" t="s">
        <v>721</v>
      </c>
      <c r="P110" s="60"/>
      <c r="Q110" s="60"/>
      <c r="R110" s="54"/>
      <c r="S110" s="54"/>
      <c r="T110" s="54"/>
      <c r="U110" s="61">
        <v>0.94699999999999995</v>
      </c>
      <c r="V110" s="61"/>
      <c r="W110" s="61"/>
      <c r="X110" s="58">
        <f t="shared" si="2"/>
        <v>0.94699999999999995</v>
      </c>
      <c r="Y110" s="62">
        <v>2.4</v>
      </c>
      <c r="Z110" s="63" t="str">
        <f t="shared" si="3"/>
        <v>F</v>
      </c>
      <c r="AA110" s="154" t="s">
        <v>1367</v>
      </c>
      <c r="AB110" s="314">
        <f>AVERAGE($Y$109:$Y$119)</f>
        <v>2.4356074395454543</v>
      </c>
      <c r="AC110" s="314">
        <f>MEDIAN($Y$109:$Y$119)</f>
        <v>2.2999999999999998</v>
      </c>
      <c r="AD110" s="314">
        <f>MAX($Y$109:$Y$119)</f>
        <v>4.8</v>
      </c>
      <c r="AE110" s="314">
        <f>MIN($Y$109:$Y$119)</f>
        <v>1.650264578</v>
      </c>
      <c r="AF110" s="314">
        <f>STDEV($Y$109:$Y$119)</f>
        <v>0.89102868042111594</v>
      </c>
      <c r="AG110" s="315">
        <f>COUNT($Y$109:$Y$119)</f>
        <v>11</v>
      </c>
    </row>
    <row r="111" spans="1:33" s="49" customFormat="1">
      <c r="A111" s="53">
        <v>181</v>
      </c>
      <c r="B111" s="54" t="s">
        <v>766</v>
      </c>
      <c r="C111" s="54">
        <v>2009</v>
      </c>
      <c r="D111" s="83" t="s">
        <v>767</v>
      </c>
      <c r="E111" s="84" t="s">
        <v>49</v>
      </c>
      <c r="F111" s="74" t="s">
        <v>793</v>
      </c>
      <c r="G111" s="54" t="s">
        <v>794</v>
      </c>
      <c r="H111" s="74" t="s">
        <v>41</v>
      </c>
      <c r="I111" s="74"/>
      <c r="J111" s="74" t="s">
        <v>1071</v>
      </c>
      <c r="K111" s="74" t="s">
        <v>1072</v>
      </c>
      <c r="L111" s="91" t="s">
        <v>415</v>
      </c>
      <c r="M111" s="91" t="s">
        <v>620</v>
      </c>
      <c r="N111" s="74"/>
      <c r="O111" s="91" t="s">
        <v>795</v>
      </c>
      <c r="P111" s="74"/>
      <c r="Q111" s="74"/>
      <c r="R111" s="54"/>
      <c r="S111" s="54"/>
      <c r="T111" s="54"/>
      <c r="U111" s="91">
        <v>0.94299999999999995</v>
      </c>
      <c r="V111" s="74"/>
      <c r="W111" s="74"/>
      <c r="X111" s="58">
        <f t="shared" si="2"/>
        <v>0.94299999999999995</v>
      </c>
      <c r="Y111" s="92">
        <v>1.841697406</v>
      </c>
      <c r="Z111" s="63" t="str">
        <f t="shared" si="3"/>
        <v>F</v>
      </c>
      <c r="AA111" s="154" t="s">
        <v>1368</v>
      </c>
      <c r="AB111" s="314">
        <f>AVERAGE($Y$109:$Y$117)</f>
        <v>2.2435202038888886</v>
      </c>
      <c r="AC111" s="314">
        <f>MEDIAN($Y$109:$Y$117)</f>
        <v>2.2999999999999998</v>
      </c>
      <c r="AD111" s="314">
        <f>MAX($Y$109:$Y$117)</f>
        <v>2.9</v>
      </c>
      <c r="AE111" s="314">
        <f>MIN($Y$109:$Y$117)</f>
        <v>1.650264578</v>
      </c>
      <c r="AF111" s="314">
        <f>STDEV($Y$109:$Y$117)</f>
        <v>0.44901204622927515</v>
      </c>
      <c r="AG111" s="315">
        <f>COUNT($Y$109:$Y$117)</f>
        <v>9</v>
      </c>
    </row>
    <row r="112" spans="1:33" s="49" customFormat="1">
      <c r="A112" s="53">
        <v>181</v>
      </c>
      <c r="B112" s="54" t="s">
        <v>766</v>
      </c>
      <c r="C112" s="54">
        <v>2009</v>
      </c>
      <c r="D112" s="83" t="s">
        <v>767</v>
      </c>
      <c r="E112" s="84" t="s">
        <v>49</v>
      </c>
      <c r="F112" s="74" t="s">
        <v>834</v>
      </c>
      <c r="G112" s="54" t="s">
        <v>835</v>
      </c>
      <c r="H112" s="74" t="s">
        <v>43</v>
      </c>
      <c r="I112" s="74"/>
      <c r="J112" s="74" t="s">
        <v>1071</v>
      </c>
      <c r="K112" s="74" t="s">
        <v>1095</v>
      </c>
      <c r="L112" s="91" t="s">
        <v>415</v>
      </c>
      <c r="M112" s="91" t="s">
        <v>801</v>
      </c>
      <c r="N112" s="74" t="s">
        <v>866</v>
      </c>
      <c r="O112" s="91" t="s">
        <v>867</v>
      </c>
      <c r="P112" s="74"/>
      <c r="Q112" s="74"/>
      <c r="R112" s="54"/>
      <c r="S112" s="54"/>
      <c r="T112" s="54"/>
      <c r="U112" s="91">
        <v>0.93799999999999994</v>
      </c>
      <c r="V112" s="74"/>
      <c r="W112" s="74"/>
      <c r="X112" s="58">
        <f t="shared" si="2"/>
        <v>0.93799999999999994</v>
      </c>
      <c r="Y112" s="92">
        <v>1.650264578</v>
      </c>
      <c r="Z112" s="63" t="str">
        <f t="shared" si="3"/>
        <v>F</v>
      </c>
      <c r="AA112" s="154" t="s">
        <v>1369</v>
      </c>
      <c r="AB112" s="314">
        <f>AVERAGE($Y$118:$Y$119)</f>
        <v>3.3</v>
      </c>
      <c r="AC112" s="314">
        <f>MEDIAN($Y$118:$Y$119)</f>
        <v>3.3</v>
      </c>
      <c r="AD112" s="314">
        <f>MAX($Y$118:$Y$119)</f>
        <v>4.8</v>
      </c>
      <c r="AE112" s="314">
        <f>MIN($Y$118:$Y$119)</f>
        <v>1.8</v>
      </c>
      <c r="AF112" s="314">
        <f>STDEV($Y$118:$Y$119)</f>
        <v>2.1213203435596433</v>
      </c>
      <c r="AG112" s="315">
        <f>COUNT($Y$118:$Y$119)</f>
        <v>2</v>
      </c>
    </row>
    <row r="113" spans="1:35" s="49" customFormat="1">
      <c r="A113" s="53">
        <v>181</v>
      </c>
      <c r="B113" s="54" t="s">
        <v>766</v>
      </c>
      <c r="C113" s="54">
        <v>2009</v>
      </c>
      <c r="D113" s="83" t="s">
        <v>767</v>
      </c>
      <c r="E113" s="84" t="s">
        <v>49</v>
      </c>
      <c r="F113" s="74" t="s">
        <v>793</v>
      </c>
      <c r="G113" s="54" t="s">
        <v>770</v>
      </c>
      <c r="H113" s="74" t="s">
        <v>771</v>
      </c>
      <c r="I113" s="74"/>
      <c r="J113" s="74" t="s">
        <v>1071</v>
      </c>
      <c r="K113" s="74" t="s">
        <v>1072</v>
      </c>
      <c r="L113" s="91" t="s">
        <v>415</v>
      </c>
      <c r="M113" s="91" t="s">
        <v>620</v>
      </c>
      <c r="N113" s="74"/>
      <c r="O113" s="91" t="s">
        <v>865</v>
      </c>
      <c r="P113" s="74"/>
      <c r="Q113" s="74"/>
      <c r="R113" s="54"/>
      <c r="S113" s="54"/>
      <c r="T113" s="54"/>
      <c r="U113" s="91">
        <v>0.93500000000000005</v>
      </c>
      <c r="V113" s="74"/>
      <c r="W113" s="74"/>
      <c r="X113" s="58">
        <f t="shared" si="2"/>
        <v>0.93500000000000005</v>
      </c>
      <c r="Y113" s="92">
        <v>2.6642028280000001</v>
      </c>
      <c r="Z113" s="63" t="str">
        <f t="shared" si="3"/>
        <v>F</v>
      </c>
      <c r="AA113"/>
      <c r="AB113"/>
      <c r="AC113"/>
      <c r="AD113" s="46"/>
    </row>
    <row r="114" spans="1:35" s="49" customFormat="1">
      <c r="A114" s="53">
        <v>174</v>
      </c>
      <c r="B114" s="54" t="s">
        <v>697</v>
      </c>
      <c r="C114" s="54">
        <v>2009</v>
      </c>
      <c r="D114" s="55" t="s">
        <v>698</v>
      </c>
      <c r="E114" s="56" t="s">
        <v>20</v>
      </c>
      <c r="F114" s="57" t="s">
        <v>701</v>
      </c>
      <c r="G114" s="54" t="s">
        <v>43</v>
      </c>
      <c r="H114" s="54" t="s">
        <v>43</v>
      </c>
      <c r="I114" s="54"/>
      <c r="J114" s="58" t="s">
        <v>1071</v>
      </c>
      <c r="K114" s="54" t="s">
        <v>1095</v>
      </c>
      <c r="L114" s="54" t="s">
        <v>736</v>
      </c>
      <c r="M114" s="59"/>
      <c r="N114" s="59"/>
      <c r="O114" s="54" t="s">
        <v>736</v>
      </c>
      <c r="P114" s="60"/>
      <c r="Q114" s="60"/>
      <c r="R114" s="54"/>
      <c r="S114" s="54"/>
      <c r="T114" s="54"/>
      <c r="U114" s="61">
        <v>0.93300000000000005</v>
      </c>
      <c r="V114" s="61"/>
      <c r="W114" s="61"/>
      <c r="X114" s="58">
        <f t="shared" si="2"/>
        <v>0.93300000000000005</v>
      </c>
      <c r="Y114" s="62">
        <v>2.2999999999999998</v>
      </c>
      <c r="Z114" s="63" t="str">
        <f t="shared" si="3"/>
        <v>F</v>
      </c>
      <c r="AA114"/>
      <c r="AB114"/>
      <c r="AC114"/>
    </row>
    <row r="115" spans="1:35" s="49" customFormat="1">
      <c r="A115" s="53">
        <v>181</v>
      </c>
      <c r="B115" s="54" t="s">
        <v>766</v>
      </c>
      <c r="C115" s="54">
        <v>2009</v>
      </c>
      <c r="D115" s="83" t="s">
        <v>767</v>
      </c>
      <c r="E115" s="84" t="s">
        <v>49</v>
      </c>
      <c r="F115" s="74" t="s">
        <v>799</v>
      </c>
      <c r="G115" s="54" t="s">
        <v>800</v>
      </c>
      <c r="H115" s="74" t="s">
        <v>43</v>
      </c>
      <c r="I115" s="74"/>
      <c r="J115" s="74" t="s">
        <v>1071</v>
      </c>
      <c r="K115" s="74" t="s">
        <v>1095</v>
      </c>
      <c r="L115" s="91" t="s">
        <v>415</v>
      </c>
      <c r="M115" s="91" t="s">
        <v>801</v>
      </c>
      <c r="N115" s="74"/>
      <c r="O115" s="91" t="s">
        <v>802</v>
      </c>
      <c r="P115" s="74"/>
      <c r="Q115" s="74"/>
      <c r="R115" s="54"/>
      <c r="S115" s="54"/>
      <c r="T115" s="54"/>
      <c r="U115" s="91">
        <v>0.93300000000000005</v>
      </c>
      <c r="V115" s="74"/>
      <c r="W115" s="74"/>
      <c r="X115" s="58">
        <f t="shared" si="2"/>
        <v>0.93300000000000005</v>
      </c>
      <c r="Y115" s="92">
        <v>2.1312533870000001</v>
      </c>
      <c r="Z115" s="63" t="str">
        <f t="shared" si="3"/>
        <v>F</v>
      </c>
      <c r="AA115"/>
      <c r="AB115"/>
      <c r="AC115"/>
    </row>
    <row r="116" spans="1:35" s="49" customFormat="1">
      <c r="A116" s="53">
        <v>181</v>
      </c>
      <c r="B116" s="54" t="s">
        <v>766</v>
      </c>
      <c r="C116" s="54">
        <v>2009</v>
      </c>
      <c r="D116" s="83" t="s">
        <v>767</v>
      </c>
      <c r="E116" s="90" t="s">
        <v>49</v>
      </c>
      <c r="F116" s="78" t="s">
        <v>834</v>
      </c>
      <c r="G116" s="54" t="s">
        <v>835</v>
      </c>
      <c r="H116" s="78" t="s">
        <v>43</v>
      </c>
      <c r="I116" s="78"/>
      <c r="J116" s="78" t="s">
        <v>1071</v>
      </c>
      <c r="K116" s="78" t="s">
        <v>1071</v>
      </c>
      <c r="L116" s="91" t="s">
        <v>415</v>
      </c>
      <c r="M116" s="91" t="s">
        <v>836</v>
      </c>
      <c r="N116" s="78"/>
      <c r="O116" s="91" t="s">
        <v>837</v>
      </c>
      <c r="P116" s="78"/>
      <c r="Q116" s="78"/>
      <c r="R116" s="54"/>
      <c r="S116" s="54"/>
      <c r="T116" s="54"/>
      <c r="U116" s="91">
        <v>0.92100000000000004</v>
      </c>
      <c r="V116" s="78"/>
      <c r="W116" s="78"/>
      <c r="X116" s="58">
        <f t="shared" si="2"/>
        <v>0.92100000000000004</v>
      </c>
      <c r="Y116" s="92">
        <v>2.618263636</v>
      </c>
      <c r="Z116" s="63" t="str">
        <f t="shared" si="3"/>
        <v>F</v>
      </c>
    </row>
    <row r="117" spans="1:35" s="49" customFormat="1">
      <c r="A117" s="53">
        <v>174</v>
      </c>
      <c r="B117" s="54" t="s">
        <v>697</v>
      </c>
      <c r="C117" s="54">
        <v>2009</v>
      </c>
      <c r="D117" s="55" t="s">
        <v>698</v>
      </c>
      <c r="E117" s="56" t="s">
        <v>20</v>
      </c>
      <c r="F117" s="57" t="s">
        <v>701</v>
      </c>
      <c r="G117" s="54" t="s">
        <v>43</v>
      </c>
      <c r="H117" s="54" t="s">
        <v>43</v>
      </c>
      <c r="I117" s="54"/>
      <c r="J117" s="58" t="s">
        <v>1071</v>
      </c>
      <c r="K117" s="54" t="s">
        <v>1106</v>
      </c>
      <c r="L117" s="54" t="s">
        <v>732</v>
      </c>
      <c r="M117" s="59"/>
      <c r="N117" s="59"/>
      <c r="O117" s="54" t="s">
        <v>732</v>
      </c>
      <c r="P117" s="60"/>
      <c r="Q117" s="60"/>
      <c r="R117" s="54"/>
      <c r="S117" s="54"/>
      <c r="T117" s="54"/>
      <c r="U117" s="61">
        <v>0.91500000000000004</v>
      </c>
      <c r="V117" s="61"/>
      <c r="W117" s="61"/>
      <c r="X117" s="58">
        <f t="shared" si="2"/>
        <v>0.91500000000000004</v>
      </c>
      <c r="Y117" s="62">
        <v>2.9</v>
      </c>
      <c r="Z117" s="63" t="str">
        <f t="shared" si="3"/>
        <v>F</v>
      </c>
      <c r="AA117" s="46"/>
      <c r="AB117" s="46"/>
      <c r="AC117" s="46"/>
      <c r="AD117" s="46"/>
    </row>
    <row r="118" spans="1:35" s="46" customFormat="1">
      <c r="A118" s="53">
        <v>174</v>
      </c>
      <c r="B118" s="54" t="s">
        <v>697</v>
      </c>
      <c r="C118" s="54">
        <v>2009</v>
      </c>
      <c r="D118" s="55" t="s">
        <v>698</v>
      </c>
      <c r="E118" s="56" t="s">
        <v>20</v>
      </c>
      <c r="F118" s="57" t="s">
        <v>701</v>
      </c>
      <c r="G118" s="54" t="s">
        <v>702</v>
      </c>
      <c r="H118" s="54" t="s">
        <v>38</v>
      </c>
      <c r="I118" s="54"/>
      <c r="J118" s="58" t="s">
        <v>1071</v>
      </c>
      <c r="K118" s="54" t="s">
        <v>1090</v>
      </c>
      <c r="L118" s="54" t="s">
        <v>703</v>
      </c>
      <c r="M118" s="59"/>
      <c r="N118" s="59"/>
      <c r="O118" s="54" t="s">
        <v>703</v>
      </c>
      <c r="P118" s="60"/>
      <c r="Q118" s="60"/>
      <c r="R118" s="54"/>
      <c r="S118" s="54"/>
      <c r="T118" s="54"/>
      <c r="U118" s="61">
        <v>0.85699999999999998</v>
      </c>
      <c r="V118" s="61"/>
      <c r="W118" s="61"/>
      <c r="X118" s="58">
        <f t="shared" si="2"/>
        <v>0.85699999999999998</v>
      </c>
      <c r="Y118" s="62">
        <v>4.8</v>
      </c>
      <c r="Z118" s="63" t="str">
        <f t="shared" si="3"/>
        <v>S</v>
      </c>
      <c r="AA118" s="49"/>
      <c r="AB118" s="49"/>
      <c r="AC118" s="49"/>
      <c r="AD118" s="49"/>
    </row>
    <row r="119" spans="1:35" s="46" customFormat="1">
      <c r="A119" s="53">
        <v>174</v>
      </c>
      <c r="B119" s="54" t="s">
        <v>697</v>
      </c>
      <c r="C119" s="54">
        <v>2009</v>
      </c>
      <c r="D119" s="55" t="s">
        <v>698</v>
      </c>
      <c r="E119" s="56" t="s">
        <v>20</v>
      </c>
      <c r="F119" s="57" t="s">
        <v>701</v>
      </c>
      <c r="G119" s="54" t="s">
        <v>706</v>
      </c>
      <c r="H119" s="54" t="s">
        <v>43</v>
      </c>
      <c r="I119" s="54"/>
      <c r="J119" s="58" t="s">
        <v>1071</v>
      </c>
      <c r="K119" s="54" t="s">
        <v>1103</v>
      </c>
      <c r="L119" s="54" t="s">
        <v>756</v>
      </c>
      <c r="M119" s="59"/>
      <c r="N119" s="59"/>
      <c r="O119" s="54" t="s">
        <v>756</v>
      </c>
      <c r="P119" s="60"/>
      <c r="Q119" s="60"/>
      <c r="R119" s="54"/>
      <c r="S119" s="54"/>
      <c r="T119" s="54"/>
      <c r="U119" s="61">
        <v>0.84199999999999997</v>
      </c>
      <c r="V119" s="61"/>
      <c r="W119" s="61"/>
      <c r="X119" s="58">
        <f t="shared" si="2"/>
        <v>0.84199999999999997</v>
      </c>
      <c r="Y119" s="62">
        <v>1.8</v>
      </c>
      <c r="Z119" s="63" t="str">
        <f t="shared" si="3"/>
        <v>S</v>
      </c>
      <c r="AA119" s="49"/>
      <c r="AB119" s="49"/>
      <c r="AC119" s="49"/>
      <c r="AD119" s="49"/>
    </row>
    <row r="120" spans="1:35" s="118" customFormat="1">
      <c r="A120" s="97">
        <v>174</v>
      </c>
      <c r="B120" s="98" t="s">
        <v>697</v>
      </c>
      <c r="C120" s="98">
        <v>2009</v>
      </c>
      <c r="D120" s="108" t="s">
        <v>698</v>
      </c>
      <c r="E120" s="99" t="s">
        <v>20</v>
      </c>
      <c r="F120" s="100" t="s">
        <v>701</v>
      </c>
      <c r="G120" s="98" t="s">
        <v>705</v>
      </c>
      <c r="H120" s="98" t="s">
        <v>159</v>
      </c>
      <c r="I120" s="98"/>
      <c r="J120" s="101" t="s">
        <v>1013</v>
      </c>
      <c r="K120" s="98" t="s">
        <v>1087</v>
      </c>
      <c r="L120" s="98" t="s">
        <v>464</v>
      </c>
      <c r="M120" s="109"/>
      <c r="N120" s="109"/>
      <c r="O120" s="98" t="s">
        <v>464</v>
      </c>
      <c r="P120" s="103"/>
      <c r="Q120" s="103"/>
      <c r="R120" s="98"/>
      <c r="S120" s="98"/>
      <c r="T120" s="98"/>
      <c r="U120" s="104">
        <v>0.90600000000000003</v>
      </c>
      <c r="V120" s="104"/>
      <c r="W120" s="104"/>
      <c r="X120" s="101">
        <f t="shared" ref="X120:X151" si="4">IF(R120&lt;&gt;0,IF(R120&gt;1,R120/100,R120),IF(U120&lt;&gt;0,IF(U120&gt;1,U120/100,U120),""))</f>
        <v>0.90600000000000003</v>
      </c>
      <c r="Y120" s="110">
        <v>4.0999999999999996</v>
      </c>
      <c r="Z120" s="106" t="str">
        <f t="shared" ref="Z120:Z151" si="5">IF(X120&lt;&gt;"",IF(X120&lt;0.9,"S","F"),"")</f>
        <v>F</v>
      </c>
      <c r="AA120" s="158"/>
      <c r="AB120" s="158" t="s">
        <v>1206</v>
      </c>
      <c r="AC120" s="158" t="s">
        <v>1207</v>
      </c>
      <c r="AD120" s="158" t="s">
        <v>1208</v>
      </c>
      <c r="AE120" s="150" t="s">
        <v>1209</v>
      </c>
      <c r="AF120" s="150" t="s">
        <v>1210</v>
      </c>
      <c r="AG120" s="150" t="s">
        <v>1211</v>
      </c>
      <c r="AH120" s="107"/>
      <c r="AI120" s="107"/>
    </row>
    <row r="121" spans="1:35" s="118" customFormat="1">
      <c r="A121" s="97">
        <v>118</v>
      </c>
      <c r="B121" s="123" t="s">
        <v>399</v>
      </c>
      <c r="C121" s="98">
        <v>1999</v>
      </c>
      <c r="D121" s="123" t="s">
        <v>400</v>
      </c>
      <c r="E121" s="99" t="s">
        <v>20</v>
      </c>
      <c r="F121" s="98">
        <v>1999</v>
      </c>
      <c r="G121" s="98" t="s">
        <v>326</v>
      </c>
      <c r="H121" s="98" t="s">
        <v>159</v>
      </c>
      <c r="I121" s="98"/>
      <c r="J121" s="101" t="s">
        <v>1013</v>
      </c>
      <c r="K121" s="98" t="s">
        <v>1054</v>
      </c>
      <c r="L121" s="98" t="s">
        <v>405</v>
      </c>
      <c r="M121" s="98"/>
      <c r="N121" s="98"/>
      <c r="O121" s="98">
        <v>3</v>
      </c>
      <c r="P121" s="98"/>
      <c r="Q121" s="98"/>
      <c r="R121" s="98"/>
      <c r="S121" s="98"/>
      <c r="T121" s="98"/>
      <c r="U121" s="98">
        <v>0.95</v>
      </c>
      <c r="V121" s="98"/>
      <c r="W121" s="98"/>
      <c r="X121" s="101">
        <f t="shared" si="4"/>
        <v>0.95</v>
      </c>
      <c r="Y121" s="111">
        <v>2.6640000000000001</v>
      </c>
      <c r="Z121" s="106" t="str">
        <f t="shared" si="5"/>
        <v>F</v>
      </c>
      <c r="AA121" s="150" t="s">
        <v>1358</v>
      </c>
      <c r="AB121" s="151">
        <f>AVERAGE($Y$120:$Y$301)</f>
        <v>5.7843535839945073</v>
      </c>
      <c r="AC121" s="151">
        <f>MEDIAN($Y$120:$Y$301)</f>
        <v>6.0150000000000006</v>
      </c>
      <c r="AD121" s="151">
        <f>MAX($Y$120:$Y$301)</f>
        <v>19.399999999999999</v>
      </c>
      <c r="AE121" s="151">
        <f>MIN($Y$120:$Y$301)</f>
        <v>0.7</v>
      </c>
      <c r="AF121" s="151">
        <f>STDEV($Y$120:$Y$301)</f>
        <v>2.877665131894505</v>
      </c>
      <c r="AG121" s="307">
        <f>COUNT($Y$120:$Y$301)</f>
        <v>182</v>
      </c>
      <c r="AH121" s="107"/>
      <c r="AI121" s="107"/>
    </row>
    <row r="122" spans="1:35" s="118" customFormat="1">
      <c r="A122" s="97">
        <v>172</v>
      </c>
      <c r="B122" s="98" t="s">
        <v>585</v>
      </c>
      <c r="C122" s="98">
        <v>2010</v>
      </c>
      <c r="D122" s="98" t="s">
        <v>586</v>
      </c>
      <c r="E122" s="99" t="s">
        <v>589</v>
      </c>
      <c r="F122" s="100">
        <v>40234</v>
      </c>
      <c r="G122" s="98" t="s">
        <v>631</v>
      </c>
      <c r="H122" s="98" t="s">
        <v>159</v>
      </c>
      <c r="I122" s="98"/>
      <c r="J122" s="101" t="s">
        <v>1013</v>
      </c>
      <c r="K122" s="98" t="s">
        <v>1068</v>
      </c>
      <c r="L122" s="98" t="s">
        <v>632</v>
      </c>
      <c r="M122" s="102" t="s">
        <v>633</v>
      </c>
      <c r="N122" s="102"/>
      <c r="O122" s="98"/>
      <c r="P122" s="103"/>
      <c r="Q122" s="103"/>
      <c r="R122" s="98"/>
      <c r="S122" s="98"/>
      <c r="T122" s="98"/>
      <c r="U122" s="104">
        <v>0.93400000000000005</v>
      </c>
      <c r="V122" s="128"/>
      <c r="W122" s="128"/>
      <c r="X122" s="101">
        <f t="shared" si="4"/>
        <v>0.93400000000000005</v>
      </c>
      <c r="Y122" s="122">
        <v>3.9980000000000002</v>
      </c>
      <c r="Z122" s="106" t="str">
        <f t="shared" si="5"/>
        <v>F</v>
      </c>
      <c r="AA122" s="158" t="s">
        <v>1310</v>
      </c>
      <c r="AB122" s="244">
        <f>AVERAGE($Y$120:$Y$132,$Y$178:$Y$199,$Y$202:$Y$205,$Y$209:$Y$214,$Y$216:$Y$224,$Y$256:$Y$262,$Y$284:$Y$287,$Y$293:$Y$295)</f>
        <v>3.3116108949705882</v>
      </c>
      <c r="AC122" s="244">
        <f>MEDIAN($Y$120:$Y$132,$Y$178:$Y$199,$Y$202:$Y$205,$Y$209:$Y$214,$Y$216:$Y$224,$Y$256:$Y$262,$Y$284:$Y$287,$Y$293:$Y$295)</f>
        <v>3.2215984670000002</v>
      </c>
      <c r="AD122" s="244">
        <f>MAX($Y$120:$Y$132,$Y$178:$Y$199,$Y$202:$Y$205,$Y$209:$Y$214,$Y$216:$Y$224,$Y$256:$Y$262,$Y$284:$Y$287,$Y$293:$Y$295)</f>
        <v>6.32</v>
      </c>
      <c r="AE122" s="244">
        <f>MIN($Y$120:$Y$132,$Y$178:$Y$199,$Y$202:$Y$205,$Y$209:$Y$214,$Y$216:$Y$224,$Y$256:$Y$262,$Y$284:$Y$287,$Y$293:$Y$295)</f>
        <v>0.7</v>
      </c>
      <c r="AF122" s="244">
        <f>STDEV($Y$120:$Y$132,$Y$178:$Y$199,$Y$202:$Y$205,$Y$209:$Y$214,$Y$216:$Y$224,$Y$256:$Y$262,$Y$284:$Y$287,$Y$293:$Y$295)</f>
        <v>1.4564632931432924</v>
      </c>
      <c r="AG122" s="245">
        <f>COUNT($Y$120:$Y$132,$Y$178:$Y$199,$Y$202:$Y$205,$Y$209:$Y$214,$Y$216:$Y$224,$Y$256:$Y$262,$Y$284:$Y$287,$Y$293:$Y$295)</f>
        <v>68</v>
      </c>
    </row>
    <row r="123" spans="1:35" s="118" customFormat="1">
      <c r="A123" s="97">
        <v>174</v>
      </c>
      <c r="B123" s="98" t="s">
        <v>697</v>
      </c>
      <c r="C123" s="98">
        <v>2009</v>
      </c>
      <c r="D123" s="108" t="s">
        <v>698</v>
      </c>
      <c r="E123" s="99" t="s">
        <v>20</v>
      </c>
      <c r="F123" s="100" t="s">
        <v>701</v>
      </c>
      <c r="G123" s="98" t="s">
        <v>705</v>
      </c>
      <c r="H123" s="98" t="s">
        <v>159</v>
      </c>
      <c r="I123" s="98"/>
      <c r="J123" s="101" t="s">
        <v>1013</v>
      </c>
      <c r="K123" s="98" t="s">
        <v>1091</v>
      </c>
      <c r="L123" s="98" t="s">
        <v>725</v>
      </c>
      <c r="M123" s="109"/>
      <c r="N123" s="109"/>
      <c r="O123" s="98" t="s">
        <v>725</v>
      </c>
      <c r="P123" s="103"/>
      <c r="Q123" s="103"/>
      <c r="R123" s="98"/>
      <c r="S123" s="98"/>
      <c r="T123" s="98"/>
      <c r="U123" s="104">
        <v>0.92</v>
      </c>
      <c r="V123" s="104"/>
      <c r="W123" s="104"/>
      <c r="X123" s="101">
        <f t="shared" si="4"/>
        <v>0.92</v>
      </c>
      <c r="Y123" s="110">
        <v>4.2</v>
      </c>
      <c r="Z123" s="106" t="str">
        <f t="shared" si="5"/>
        <v>F</v>
      </c>
      <c r="AA123" s="158" t="s">
        <v>1311</v>
      </c>
      <c r="AB123" s="244">
        <f>AVERAGE($Y$133:$Y$174,$Y$200:$Y$201,$Y$206,$Y$215,$Y$225:$Y$241,$Y$263:$Y$274,$Y$288:$Y$292,$Y$296:$Y$300)</f>
        <v>7.2372095462235313</v>
      </c>
      <c r="AC123" s="244">
        <f>MEDIAN($Y$133:$Y$174,$Y$200:$Y$201,$Y$206,$Y$215,$Y$225:$Y$241,$Y$263:$Y$274,$Y$288:$Y$292,$Y$296:$Y$300)</f>
        <v>7.18</v>
      </c>
      <c r="AD123" s="244">
        <f>MAX($Y$133:$Y$174,$Y$200:$Y$201,$Y$206,$Y$215,$Y$225:$Y$241,$Y$263:$Y$274,$Y$288:$Y$292,$Y$296:$Y$300)</f>
        <v>19.399999999999999</v>
      </c>
      <c r="AE123" s="244">
        <f>MIN($Y$133:$Y$174,$Y$200:$Y$201,$Y$206,$Y$215,$Y$225:$Y$241,$Y$263:$Y$274,$Y$288:$Y$292,$Y$296:$Y$300)</f>
        <v>1.8</v>
      </c>
      <c r="AF123" s="244">
        <f>STDEV($Y$133:$Y$174,$Y$200:$Y$201,$Y$206,$Y$215,$Y$225:$Y$241,$Y$263:$Y$274,$Y$288:$Y$292,$Y$296:$Y$300)</f>
        <v>2.3711474107093489</v>
      </c>
      <c r="AG123" s="245">
        <f>COUNT($Y$133:$Y$174,$Y$200:$Y$201,$Y$206,$Y$215,$Y$225:$Y$241,$Y$263:$Y$274,$Y$288:$Y$292,$Y$296:$Y$300)</f>
        <v>85</v>
      </c>
      <c r="AH123" s="107"/>
      <c r="AI123" s="107"/>
    </row>
    <row r="124" spans="1:35" s="118" customFormat="1">
      <c r="A124" s="97">
        <v>174</v>
      </c>
      <c r="B124" s="98" t="s">
        <v>697</v>
      </c>
      <c r="C124" s="98">
        <v>2009</v>
      </c>
      <c r="D124" s="108" t="s">
        <v>698</v>
      </c>
      <c r="E124" s="99" t="s">
        <v>20</v>
      </c>
      <c r="F124" s="100" t="s">
        <v>701</v>
      </c>
      <c r="G124" s="98" t="s">
        <v>705</v>
      </c>
      <c r="H124" s="98" t="s">
        <v>159</v>
      </c>
      <c r="I124" s="98"/>
      <c r="J124" s="101" t="s">
        <v>1013</v>
      </c>
      <c r="K124" s="98" t="s">
        <v>1091</v>
      </c>
      <c r="L124" s="98" t="s">
        <v>712</v>
      </c>
      <c r="M124" s="109"/>
      <c r="N124" s="109"/>
      <c r="O124" s="98" t="s">
        <v>713</v>
      </c>
      <c r="P124" s="103"/>
      <c r="Q124" s="103"/>
      <c r="R124" s="98"/>
      <c r="S124" s="98"/>
      <c r="T124" s="98"/>
      <c r="U124" s="104">
        <v>0.91500000000000004</v>
      </c>
      <c r="V124" s="104"/>
      <c r="W124" s="104"/>
      <c r="X124" s="101">
        <f t="shared" si="4"/>
        <v>0.91500000000000004</v>
      </c>
      <c r="Y124" s="110">
        <v>3.7</v>
      </c>
      <c r="Z124" s="106" t="str">
        <f t="shared" si="5"/>
        <v>F</v>
      </c>
      <c r="AB124" s="136"/>
      <c r="AC124" s="136"/>
      <c r="AD124" s="136"/>
      <c r="AE124" s="136"/>
      <c r="AF124" s="136"/>
      <c r="AG124" s="138"/>
      <c r="AH124" s="107"/>
      <c r="AI124" s="107"/>
    </row>
    <row r="125" spans="1:35" s="118" customFormat="1">
      <c r="A125" s="101"/>
      <c r="B125" s="123" t="s">
        <v>766</v>
      </c>
      <c r="C125" s="98">
        <v>2013</v>
      </c>
      <c r="D125" s="101"/>
      <c r="E125" s="99" t="s">
        <v>172</v>
      </c>
      <c r="F125" s="98">
        <v>2011</v>
      </c>
      <c r="G125" s="98" t="s">
        <v>631</v>
      </c>
      <c r="H125" s="101" t="s">
        <v>159</v>
      </c>
      <c r="I125" s="101" t="s">
        <v>1014</v>
      </c>
      <c r="J125" s="115" t="s">
        <v>1013</v>
      </c>
      <c r="K125" s="98" t="s">
        <v>1091</v>
      </c>
      <c r="L125" s="98" t="s">
        <v>974</v>
      </c>
      <c r="M125" s="101"/>
      <c r="N125" s="101"/>
      <c r="O125" s="101" t="s">
        <v>972</v>
      </c>
      <c r="P125" s="101"/>
      <c r="Q125" s="101"/>
      <c r="R125" s="101"/>
      <c r="S125" s="101"/>
      <c r="T125" s="101"/>
      <c r="U125" s="98">
        <v>0.90300000000000002</v>
      </c>
      <c r="V125" s="101"/>
      <c r="W125" s="101"/>
      <c r="X125" s="101">
        <f t="shared" si="4"/>
        <v>0.90300000000000002</v>
      </c>
      <c r="Y125" s="111">
        <v>5.51</v>
      </c>
      <c r="Z125" s="106" t="str">
        <f t="shared" si="5"/>
        <v>F</v>
      </c>
      <c r="AB125" s="136"/>
      <c r="AC125" s="136"/>
      <c r="AD125" s="136"/>
      <c r="AE125" s="136"/>
      <c r="AF125" s="136"/>
      <c r="AG125" s="138"/>
      <c r="AH125" s="107"/>
      <c r="AI125" s="107"/>
    </row>
    <row r="126" spans="1:35" s="118" customFormat="1">
      <c r="A126" s="101"/>
      <c r="B126" s="123" t="s">
        <v>766</v>
      </c>
      <c r="C126" s="98">
        <v>2013</v>
      </c>
      <c r="D126" s="101"/>
      <c r="E126" s="99" t="s">
        <v>172</v>
      </c>
      <c r="F126" s="98">
        <v>2011</v>
      </c>
      <c r="G126" s="98" t="s">
        <v>631</v>
      </c>
      <c r="H126" s="101" t="s">
        <v>159</v>
      </c>
      <c r="I126" s="101" t="s">
        <v>1014</v>
      </c>
      <c r="J126" s="115" t="s">
        <v>1013</v>
      </c>
      <c r="K126" s="98" t="s">
        <v>1091</v>
      </c>
      <c r="L126" s="98" t="s">
        <v>975</v>
      </c>
      <c r="M126" s="101"/>
      <c r="N126" s="101"/>
      <c r="O126" s="101" t="s">
        <v>976</v>
      </c>
      <c r="P126" s="101"/>
      <c r="Q126" s="101"/>
      <c r="R126" s="101"/>
      <c r="S126" s="101"/>
      <c r="T126" s="101"/>
      <c r="U126" s="98">
        <v>0.90300000000000002</v>
      </c>
      <c r="V126" s="101"/>
      <c r="W126" s="101"/>
      <c r="X126" s="101">
        <f t="shared" si="4"/>
        <v>0.90300000000000002</v>
      </c>
      <c r="Y126" s="111">
        <v>5.27</v>
      </c>
      <c r="Z126" s="106" t="str">
        <f t="shared" si="5"/>
        <v>F</v>
      </c>
      <c r="AA126" s="158" t="s">
        <v>1381</v>
      </c>
      <c r="AB126" s="244">
        <f>AVERAGE($Y$120:$Y$215)</f>
        <v>5.6255453363229142</v>
      </c>
      <c r="AC126" s="244">
        <f>MEDIAN($Y$120:$Y$215)</f>
        <v>5.95</v>
      </c>
      <c r="AD126" s="244">
        <f>MAX($Y$120:$Y$215)</f>
        <v>12.09</v>
      </c>
      <c r="AE126" s="244">
        <f>MIN($Y$120:$Y$215)</f>
        <v>1.1970000000000001</v>
      </c>
      <c r="AF126" s="244">
        <f>STDEV($Y$120:$Y$215)</f>
        <v>2.2890264464241779</v>
      </c>
      <c r="AG126" s="245">
        <f>COUNT($Y$120:$Y$215)</f>
        <v>96</v>
      </c>
      <c r="AH126" s="107"/>
      <c r="AI126" s="107"/>
    </row>
    <row r="127" spans="1:35" s="118" customFormat="1">
      <c r="A127" s="101"/>
      <c r="B127" s="123" t="s">
        <v>766</v>
      </c>
      <c r="C127" s="98">
        <v>2013</v>
      </c>
      <c r="D127" s="101"/>
      <c r="E127" s="99" t="s">
        <v>172</v>
      </c>
      <c r="F127" s="98">
        <v>2011</v>
      </c>
      <c r="G127" s="98" t="s">
        <v>631</v>
      </c>
      <c r="H127" s="101" t="s">
        <v>159</v>
      </c>
      <c r="I127" s="101" t="s">
        <v>1014</v>
      </c>
      <c r="J127" s="115" t="s">
        <v>1013</v>
      </c>
      <c r="K127" s="98" t="s">
        <v>1091</v>
      </c>
      <c r="L127" s="98" t="s">
        <v>975</v>
      </c>
      <c r="M127" s="101"/>
      <c r="N127" s="101"/>
      <c r="O127" s="101" t="s">
        <v>976</v>
      </c>
      <c r="P127" s="101"/>
      <c r="Q127" s="101"/>
      <c r="R127" s="101"/>
      <c r="S127" s="101"/>
      <c r="T127" s="101"/>
      <c r="U127" s="98">
        <v>0.90200000000000002</v>
      </c>
      <c r="V127" s="101"/>
      <c r="W127" s="101"/>
      <c r="X127" s="101">
        <f t="shared" si="4"/>
        <v>0.90200000000000002</v>
      </c>
      <c r="Y127" s="111">
        <v>5.15</v>
      </c>
      <c r="Z127" s="106" t="str">
        <f t="shared" si="5"/>
        <v>F</v>
      </c>
      <c r="AA127" s="158" t="s">
        <v>1382</v>
      </c>
      <c r="AB127" s="244">
        <f>AVERAGE($Y$120:$Y$132,$Y$178:$Y$199,$Y$202:$Y$205,$Y$209:$Y$214)</f>
        <v>3.8753231301777786</v>
      </c>
      <c r="AC127" s="244">
        <f>MEDIAN($Y$120:$Y$132,$Y$178:$Y$199,$Y$202:$Y$205,$Y$209:$Y$214)</f>
        <v>4.01</v>
      </c>
      <c r="AD127" s="244">
        <f>MAX($Y$120:$Y$132,$Y$178:$Y$199,$Y$202:$Y$205,$Y$209:$Y$214)</f>
        <v>6.32</v>
      </c>
      <c r="AE127" s="244">
        <f>MIN($Y$120:$Y$132,$Y$178:$Y$199,$Y$202:$Y$205,$Y$209:$Y$214)</f>
        <v>1.1970000000000001</v>
      </c>
      <c r="AF127" s="244">
        <f>STDEV($Y$120:$Y$132,$Y$178:$Y$199,$Y$202:$Y$205,$Y$209:$Y$214)</f>
        <v>1.3605683330959362</v>
      </c>
      <c r="AG127" s="245">
        <f>COUNT($Y$120:$Y$132,$Y$178:$Y$199,$Y$202:$Y$205,$Y$209:$Y$214)</f>
        <v>45</v>
      </c>
      <c r="AH127" s="107"/>
      <c r="AI127" s="107"/>
    </row>
    <row r="128" spans="1:35" s="118" customFormat="1">
      <c r="A128" s="101"/>
      <c r="B128" s="123" t="s">
        <v>766</v>
      </c>
      <c r="C128" s="98">
        <v>2013</v>
      </c>
      <c r="D128" s="101"/>
      <c r="E128" s="99" t="s">
        <v>172</v>
      </c>
      <c r="F128" s="98">
        <v>2011</v>
      </c>
      <c r="G128" s="98" t="s">
        <v>631</v>
      </c>
      <c r="H128" s="101" t="s">
        <v>159</v>
      </c>
      <c r="I128" s="101" t="s">
        <v>1014</v>
      </c>
      <c r="J128" s="115" t="s">
        <v>1013</v>
      </c>
      <c r="K128" s="98" t="s">
        <v>1091</v>
      </c>
      <c r="L128" s="98" t="s">
        <v>978</v>
      </c>
      <c r="M128" s="101"/>
      <c r="N128" s="101"/>
      <c r="O128" s="101" t="s">
        <v>977</v>
      </c>
      <c r="P128" s="101"/>
      <c r="Q128" s="101"/>
      <c r="R128" s="101"/>
      <c r="S128" s="101"/>
      <c r="T128" s="101"/>
      <c r="U128" s="98">
        <v>0.90200000000000002</v>
      </c>
      <c r="V128" s="101"/>
      <c r="W128" s="101"/>
      <c r="X128" s="101">
        <f t="shared" si="4"/>
        <v>0.90200000000000002</v>
      </c>
      <c r="Y128" s="111">
        <v>5.68</v>
      </c>
      <c r="Z128" s="106" t="str">
        <f t="shared" si="5"/>
        <v>F</v>
      </c>
      <c r="AA128" s="158" t="s">
        <v>1383</v>
      </c>
      <c r="AB128" s="244">
        <f>AVERAGE($Y$133:$Y$174,$Y$200:$Y$201,$Y$206,$Y$215)</f>
        <v>7.5752785093260853</v>
      </c>
      <c r="AC128" s="244">
        <f>MEDIAN($Y$133:$Y$174,$Y$200:$Y$201,$Y$206,$Y$215)</f>
        <v>7.5150000000000006</v>
      </c>
      <c r="AD128" s="244">
        <f>MAX($Y$133:$Y$174,$Y$200:$Y$201,$Y$206,$Y$215)</f>
        <v>12.09</v>
      </c>
      <c r="AE128" s="244">
        <f>MIN($Y$133:$Y$174,$Y$200:$Y$201,$Y$206,$Y$215)</f>
        <v>4.8628114289999997</v>
      </c>
      <c r="AF128" s="244">
        <f>STDEV($Y$133:$Y$174,$Y$200:$Y$201,$Y$206,$Y$215)</f>
        <v>1.2465587143684833</v>
      </c>
      <c r="AG128" s="245">
        <f>COUNT($Y$133:$Y$174,$Y$200:$Y$201,$Y$206,$Y$215)</f>
        <v>46</v>
      </c>
      <c r="AH128" s="107"/>
      <c r="AI128" s="107"/>
    </row>
    <row r="129" spans="1:35" s="118" customFormat="1">
      <c r="A129" s="101"/>
      <c r="B129" s="123" t="s">
        <v>766</v>
      </c>
      <c r="C129" s="98">
        <v>2013</v>
      </c>
      <c r="D129" s="101"/>
      <c r="E129" s="99" t="s">
        <v>172</v>
      </c>
      <c r="F129" s="98">
        <v>2011</v>
      </c>
      <c r="G129" s="98" t="s">
        <v>631</v>
      </c>
      <c r="H129" s="101" t="s">
        <v>159</v>
      </c>
      <c r="I129" s="101" t="s">
        <v>1014</v>
      </c>
      <c r="J129" s="115" t="s">
        <v>1013</v>
      </c>
      <c r="K129" s="98" t="s">
        <v>1091</v>
      </c>
      <c r="L129" s="98" t="s">
        <v>974</v>
      </c>
      <c r="M129" s="101"/>
      <c r="N129" s="101"/>
      <c r="O129" s="101" t="s">
        <v>972</v>
      </c>
      <c r="P129" s="101"/>
      <c r="Q129" s="101"/>
      <c r="R129" s="101"/>
      <c r="S129" s="101"/>
      <c r="T129" s="101"/>
      <c r="U129" s="98">
        <v>0.90100000000000002</v>
      </c>
      <c r="V129" s="101"/>
      <c r="W129" s="101"/>
      <c r="X129" s="101">
        <f t="shared" si="4"/>
        <v>0.90100000000000002</v>
      </c>
      <c r="Y129" s="111">
        <v>5.87</v>
      </c>
      <c r="Z129" s="106" t="str">
        <f t="shared" si="5"/>
        <v>F</v>
      </c>
      <c r="AB129" s="136"/>
      <c r="AC129" s="136"/>
      <c r="AD129" s="136"/>
      <c r="AE129" s="136"/>
      <c r="AF129" s="136"/>
      <c r="AG129" s="138"/>
      <c r="AH129" s="107"/>
      <c r="AI129" s="107"/>
    </row>
    <row r="130" spans="1:35" s="118" customFormat="1">
      <c r="A130" s="101"/>
      <c r="B130" s="123" t="s">
        <v>766</v>
      </c>
      <c r="C130" s="98">
        <v>2013</v>
      </c>
      <c r="D130" s="101"/>
      <c r="E130" s="99" t="s">
        <v>172</v>
      </c>
      <c r="F130" s="98">
        <v>2011</v>
      </c>
      <c r="G130" s="98" t="s">
        <v>631</v>
      </c>
      <c r="H130" s="101" t="s">
        <v>159</v>
      </c>
      <c r="I130" s="101" t="s">
        <v>1014</v>
      </c>
      <c r="J130" s="115" t="s">
        <v>1013</v>
      </c>
      <c r="K130" s="98" t="s">
        <v>1091</v>
      </c>
      <c r="L130" s="98" t="s">
        <v>975</v>
      </c>
      <c r="M130" s="101"/>
      <c r="N130" s="101"/>
      <c r="O130" s="101" t="s">
        <v>976</v>
      </c>
      <c r="P130" s="101"/>
      <c r="Q130" s="101"/>
      <c r="R130" s="101"/>
      <c r="S130" s="101"/>
      <c r="T130" s="101"/>
      <c r="U130" s="98">
        <v>0.90100000000000002</v>
      </c>
      <c r="V130" s="101"/>
      <c r="W130" s="101"/>
      <c r="X130" s="101">
        <f t="shared" si="4"/>
        <v>0.90100000000000002</v>
      </c>
      <c r="Y130" s="111">
        <v>6.31</v>
      </c>
      <c r="Z130" s="106" t="str">
        <f t="shared" si="5"/>
        <v>F</v>
      </c>
      <c r="AB130" s="136"/>
      <c r="AC130" s="136"/>
      <c r="AD130" s="136"/>
      <c r="AE130" s="136"/>
      <c r="AF130" s="136"/>
      <c r="AG130" s="138"/>
      <c r="AH130" s="107"/>
      <c r="AI130" s="107"/>
    </row>
    <row r="131" spans="1:35" s="118" customFormat="1">
      <c r="A131" s="101"/>
      <c r="B131" s="123" t="s">
        <v>766</v>
      </c>
      <c r="C131" s="98">
        <v>2013</v>
      </c>
      <c r="D131" s="101"/>
      <c r="E131" s="99" t="s">
        <v>172</v>
      </c>
      <c r="F131" s="98">
        <v>2011</v>
      </c>
      <c r="G131" s="98" t="s">
        <v>631</v>
      </c>
      <c r="H131" s="101" t="s">
        <v>159</v>
      </c>
      <c r="I131" s="101" t="s">
        <v>1014</v>
      </c>
      <c r="J131" s="115" t="s">
        <v>1013</v>
      </c>
      <c r="K131" s="98" t="s">
        <v>1091</v>
      </c>
      <c r="L131" s="98" t="s">
        <v>974</v>
      </c>
      <c r="M131" s="101"/>
      <c r="N131" s="101"/>
      <c r="O131" s="101" t="s">
        <v>972</v>
      </c>
      <c r="P131" s="101"/>
      <c r="Q131" s="101"/>
      <c r="R131" s="101"/>
      <c r="S131" s="101"/>
      <c r="T131" s="101"/>
      <c r="U131" s="98">
        <v>0.90100000000000002</v>
      </c>
      <c r="V131" s="101"/>
      <c r="W131" s="101"/>
      <c r="X131" s="101">
        <f t="shared" si="4"/>
        <v>0.90100000000000002</v>
      </c>
      <c r="Y131" s="111">
        <v>6.03</v>
      </c>
      <c r="Z131" s="106" t="str">
        <f t="shared" si="5"/>
        <v>F</v>
      </c>
      <c r="AA131" s="158" t="s">
        <v>1384</v>
      </c>
      <c r="AB131" s="244">
        <f>AVERAGE($Y$216:$Y$301)</f>
        <v>5.9616279069767435</v>
      </c>
      <c r="AC131" s="244">
        <f>MEDIAN($Y$216:$Y$301)</f>
        <v>6.1</v>
      </c>
      <c r="AD131" s="244">
        <f>MAX($Y$216:$Y$301)</f>
        <v>19.399999999999999</v>
      </c>
      <c r="AE131" s="244">
        <f>MIN($Y$216:$Y$301)</f>
        <v>0.7</v>
      </c>
      <c r="AF131" s="244">
        <f>STDEV($Y$216:$Y$301)</f>
        <v>3.4230419428150229</v>
      </c>
      <c r="AG131" s="245">
        <f>COUNT($Y$216:$Y$301)</f>
        <v>86</v>
      </c>
      <c r="AH131" s="107"/>
      <c r="AI131" s="107"/>
    </row>
    <row r="132" spans="1:35" s="118" customFormat="1">
      <c r="A132" s="101"/>
      <c r="B132" s="123" t="s">
        <v>766</v>
      </c>
      <c r="C132" s="98">
        <v>2013</v>
      </c>
      <c r="D132" s="101"/>
      <c r="E132" s="99" t="s">
        <v>172</v>
      </c>
      <c r="F132" s="98">
        <v>2011</v>
      </c>
      <c r="G132" s="98" t="s">
        <v>631</v>
      </c>
      <c r="H132" s="101" t="s">
        <v>159</v>
      </c>
      <c r="I132" s="101" t="s">
        <v>1014</v>
      </c>
      <c r="J132" s="115" t="s">
        <v>1013</v>
      </c>
      <c r="K132" s="98" t="s">
        <v>1091</v>
      </c>
      <c r="L132" s="98" t="s">
        <v>974</v>
      </c>
      <c r="M132" s="101"/>
      <c r="N132" s="101"/>
      <c r="O132" s="101" t="s">
        <v>972</v>
      </c>
      <c r="P132" s="101"/>
      <c r="Q132" s="101"/>
      <c r="R132" s="101"/>
      <c r="S132" s="101"/>
      <c r="T132" s="101"/>
      <c r="U132" s="98">
        <v>0.9</v>
      </c>
      <c r="V132" s="101"/>
      <c r="W132" s="101"/>
      <c r="X132" s="101">
        <f t="shared" si="4"/>
        <v>0.9</v>
      </c>
      <c r="Y132" s="111">
        <v>5.65</v>
      </c>
      <c r="Z132" s="106" t="str">
        <f t="shared" si="5"/>
        <v>F</v>
      </c>
      <c r="AA132" s="158" t="s">
        <v>1385</v>
      </c>
      <c r="AB132" s="244">
        <f>AVERAGE($Y$216:$Y$224,$Y$256:$Y$262,$Y$284:$Y$287,$Y$293:$Y$295)</f>
        <v>2.2086956521739127</v>
      </c>
      <c r="AC132" s="244">
        <f>MEDIAN($Y$216:$Y$224,$Y$256:$Y$262,$Y$284:$Y$287,$Y$293:$Y$295)</f>
        <v>2.2000000000000002</v>
      </c>
      <c r="AD132" s="244">
        <f>MAX($Y$216:$Y$224,$Y$256:$Y$262,$Y$284:$Y$287,$Y$293:$Y$295)</f>
        <v>4.5</v>
      </c>
      <c r="AE132" s="244">
        <f>MIN($Y$216:$Y$224,$Y$256:$Y$262,$Y$284:$Y$287,$Y$293:$Y$295)</f>
        <v>0.7</v>
      </c>
      <c r="AF132" s="244">
        <f>STDEV($Y$216:$Y$224,$Y$256:$Y$262,$Y$284:$Y$287,$Y$293:$Y$295)</f>
        <v>0.91448596762347167</v>
      </c>
      <c r="AG132" s="245">
        <f>COUNT($Y$216:$Y$224,$Y$256:$Y$262,$Y$284:$Y$287,$Y$293:$Y$295)</f>
        <v>23</v>
      </c>
      <c r="AH132" s="107"/>
      <c r="AI132" s="107"/>
    </row>
    <row r="133" spans="1:35" s="118" customFormat="1">
      <c r="A133" s="101"/>
      <c r="B133" s="123" t="s">
        <v>766</v>
      </c>
      <c r="C133" s="98">
        <v>2013</v>
      </c>
      <c r="D133" s="101"/>
      <c r="E133" s="99" t="s">
        <v>172</v>
      </c>
      <c r="F133" s="98">
        <v>2011</v>
      </c>
      <c r="G133" s="98" t="s">
        <v>631</v>
      </c>
      <c r="H133" s="101" t="s">
        <v>159</v>
      </c>
      <c r="I133" s="101" t="s">
        <v>1014</v>
      </c>
      <c r="J133" s="115" t="s">
        <v>1013</v>
      </c>
      <c r="K133" s="98" t="s">
        <v>1091</v>
      </c>
      <c r="L133" s="98" t="s">
        <v>975</v>
      </c>
      <c r="M133" s="101"/>
      <c r="N133" s="101"/>
      <c r="O133" s="101" t="s">
        <v>976</v>
      </c>
      <c r="P133" s="101"/>
      <c r="Q133" s="101"/>
      <c r="R133" s="101"/>
      <c r="S133" s="101"/>
      <c r="T133" s="101"/>
      <c r="U133" s="98">
        <v>0.89900000000000002</v>
      </c>
      <c r="V133" s="101"/>
      <c r="W133" s="101"/>
      <c r="X133" s="101">
        <f t="shared" si="4"/>
        <v>0.89900000000000002</v>
      </c>
      <c r="Y133" s="111">
        <v>6.28</v>
      </c>
      <c r="Z133" s="106" t="str">
        <f t="shared" si="5"/>
        <v>S</v>
      </c>
      <c r="AA133" s="150" t="s">
        <v>1386</v>
      </c>
      <c r="AB133" s="151">
        <f>AVERAGE($Y$234:$Y$241,$Y$263:$Y$274,$Y$288:$Y$291,$Y$296:$Y$300)</f>
        <v>5.9758620689655171</v>
      </c>
      <c r="AC133" s="151">
        <f>MEDIAN($Y$234:$Y$241,$Y$263:$Y$274,$Y$288:$Y$291,$Y$296:$Y$300)</f>
        <v>6</v>
      </c>
      <c r="AD133" s="151">
        <f>MAX($Y$234:$Y$241,$Y$263:$Y$274,$Y$288:$Y$291,$Y$296:$Y$300)</f>
        <v>19.399999999999999</v>
      </c>
      <c r="AE133" s="151">
        <f>MIN($Y$234:$Y$241,$Y$263:$Y$274,$Y$288:$Y$291,$Y$296:$Y$300)</f>
        <v>1.8</v>
      </c>
      <c r="AF133" s="151">
        <f>STDEV($Y$234:$Y$241,$Y$263:$Y$274,$Y$288:$Y$291,$Y$296:$Y$300)</f>
        <v>3.3007201781704074</v>
      </c>
      <c r="AG133" s="307">
        <f>COUNT($Y$234:$Y$241,$Y$263:$Y$274,$Y$288:$Y$291,$Y$296:$Y$300)</f>
        <v>29</v>
      </c>
      <c r="AH133" s="107" t="s">
        <v>1387</v>
      </c>
      <c r="AI133" s="107"/>
    </row>
    <row r="134" spans="1:35" s="118" customFormat="1">
      <c r="A134" s="101"/>
      <c r="B134" s="123" t="s">
        <v>766</v>
      </c>
      <c r="C134" s="98">
        <v>2013</v>
      </c>
      <c r="D134" s="101"/>
      <c r="E134" s="99" t="s">
        <v>172</v>
      </c>
      <c r="F134" s="98">
        <v>2011</v>
      </c>
      <c r="G134" s="98" t="s">
        <v>631</v>
      </c>
      <c r="H134" s="101" t="s">
        <v>159</v>
      </c>
      <c r="I134" s="101" t="s">
        <v>1014</v>
      </c>
      <c r="J134" s="115" t="s">
        <v>1013</v>
      </c>
      <c r="K134" s="98" t="s">
        <v>1091</v>
      </c>
      <c r="L134" s="98" t="s">
        <v>974</v>
      </c>
      <c r="M134" s="101"/>
      <c r="N134" s="101"/>
      <c r="O134" s="101" t="s">
        <v>972</v>
      </c>
      <c r="P134" s="101"/>
      <c r="Q134" s="101"/>
      <c r="R134" s="101"/>
      <c r="S134" s="101"/>
      <c r="T134" s="101"/>
      <c r="U134" s="98">
        <v>0.89800000000000002</v>
      </c>
      <c r="V134" s="101"/>
      <c r="W134" s="101"/>
      <c r="X134" s="101">
        <f t="shared" si="4"/>
        <v>0.89800000000000002</v>
      </c>
      <c r="Y134" s="111">
        <v>6.55</v>
      </c>
      <c r="Z134" s="106" t="str">
        <f t="shared" si="5"/>
        <v>S</v>
      </c>
      <c r="AA134" s="107"/>
      <c r="AB134" s="107"/>
      <c r="AC134" s="107"/>
      <c r="AD134" s="107"/>
      <c r="AE134" s="107"/>
      <c r="AF134" s="107"/>
      <c r="AG134" s="107"/>
      <c r="AH134" s="107"/>
      <c r="AI134" s="107"/>
    </row>
    <row r="135" spans="1:35" s="118" customFormat="1">
      <c r="A135" s="101"/>
      <c r="B135" s="123" t="s">
        <v>766</v>
      </c>
      <c r="C135" s="98">
        <v>2013</v>
      </c>
      <c r="D135" s="101"/>
      <c r="E135" s="99" t="s">
        <v>172</v>
      </c>
      <c r="F135" s="98">
        <v>2011</v>
      </c>
      <c r="G135" s="98" t="s">
        <v>631</v>
      </c>
      <c r="H135" s="101" t="s">
        <v>159</v>
      </c>
      <c r="I135" s="101" t="s">
        <v>1014</v>
      </c>
      <c r="J135" s="115" t="s">
        <v>1013</v>
      </c>
      <c r="K135" s="98" t="s">
        <v>1091</v>
      </c>
      <c r="L135" s="98" t="s">
        <v>978</v>
      </c>
      <c r="M135" s="101"/>
      <c r="N135" s="101"/>
      <c r="O135" s="101" t="s">
        <v>977</v>
      </c>
      <c r="P135" s="101"/>
      <c r="Q135" s="101"/>
      <c r="R135" s="101"/>
      <c r="S135" s="101"/>
      <c r="T135" s="101"/>
      <c r="U135" s="98">
        <v>0.89700000000000002</v>
      </c>
      <c r="V135" s="101"/>
      <c r="W135" s="101"/>
      <c r="X135" s="101">
        <f t="shared" si="4"/>
        <v>0.89700000000000002</v>
      </c>
      <c r="Y135" s="111">
        <v>6.2</v>
      </c>
      <c r="Z135" s="106" t="str">
        <f t="shared" si="5"/>
        <v>S</v>
      </c>
      <c r="AA135" s="150" t="s">
        <v>1388</v>
      </c>
      <c r="AB135" s="151">
        <f>AVERAGE($Y$124:$Y$174)</f>
        <v>7.2784313725490168</v>
      </c>
      <c r="AC135" s="151">
        <f>MEDIAN($Y$124:$Y$174)</f>
        <v>7.18</v>
      </c>
      <c r="AD135" s="151">
        <f>MAX($Y$124:$Y$174)</f>
        <v>12.09</v>
      </c>
      <c r="AE135" s="151">
        <f>MIN($Y$124:$Y$174)</f>
        <v>3.7</v>
      </c>
      <c r="AF135" s="151">
        <f>STDEV($Y$124:$Y$174)</f>
        <v>1.3887827368584706</v>
      </c>
      <c r="AG135" s="307">
        <f>COUNT($Y$124:$Y$174)</f>
        <v>51</v>
      </c>
      <c r="AH135" s="107"/>
      <c r="AI135" s="107"/>
    </row>
    <row r="136" spans="1:35" s="118" customFormat="1">
      <c r="A136" s="101"/>
      <c r="B136" s="123" t="s">
        <v>766</v>
      </c>
      <c r="C136" s="98">
        <v>2013</v>
      </c>
      <c r="D136" s="101"/>
      <c r="E136" s="99" t="s">
        <v>172</v>
      </c>
      <c r="F136" s="98">
        <v>2011</v>
      </c>
      <c r="G136" s="98" t="s">
        <v>631</v>
      </c>
      <c r="H136" s="101" t="s">
        <v>159</v>
      </c>
      <c r="I136" s="101" t="s">
        <v>1014</v>
      </c>
      <c r="J136" s="115" t="s">
        <v>1013</v>
      </c>
      <c r="K136" s="98" t="s">
        <v>1091</v>
      </c>
      <c r="L136" s="98" t="s">
        <v>975</v>
      </c>
      <c r="M136" s="101"/>
      <c r="N136" s="101"/>
      <c r="O136" s="101" t="s">
        <v>976</v>
      </c>
      <c r="P136" s="101"/>
      <c r="Q136" s="101"/>
      <c r="R136" s="101"/>
      <c r="S136" s="101"/>
      <c r="T136" s="101"/>
      <c r="U136" s="98">
        <v>0.89500000000000002</v>
      </c>
      <c r="V136" s="101"/>
      <c r="W136" s="101"/>
      <c r="X136" s="101">
        <f t="shared" si="4"/>
        <v>0.89500000000000002</v>
      </c>
      <c r="Y136" s="111">
        <v>6.53</v>
      </c>
      <c r="Z136" s="106" t="str">
        <f t="shared" si="5"/>
        <v>S</v>
      </c>
      <c r="AA136" s="150" t="s">
        <v>1319</v>
      </c>
      <c r="AB136" s="151">
        <f>AVERAGE($Y$124:$Y$132)</f>
        <v>5.4633333333333338</v>
      </c>
      <c r="AC136" s="151">
        <f>MEDIAN($Y$124:$Y$132)</f>
        <v>5.65</v>
      </c>
      <c r="AD136" s="151">
        <f>MAX($Y$124:$Y$132)</f>
        <v>6.31</v>
      </c>
      <c r="AE136" s="151">
        <f>MIN($Y$124:$Y$132)</f>
        <v>3.7</v>
      </c>
      <c r="AF136" s="151">
        <f>STDEV($Y$124:$Y$132)</f>
        <v>0.75267855024571984</v>
      </c>
      <c r="AG136" s="307">
        <f>COUNT($Y$124:$Y$132)</f>
        <v>9</v>
      </c>
      <c r="AH136" s="107"/>
      <c r="AI136" s="107"/>
    </row>
    <row r="137" spans="1:35" s="118" customFormat="1">
      <c r="A137" s="101"/>
      <c r="B137" s="123" t="s">
        <v>766</v>
      </c>
      <c r="C137" s="98">
        <v>2013</v>
      </c>
      <c r="D137" s="101"/>
      <c r="E137" s="99" t="s">
        <v>172</v>
      </c>
      <c r="F137" s="98">
        <v>2011</v>
      </c>
      <c r="G137" s="98" t="s">
        <v>631</v>
      </c>
      <c r="H137" s="101" t="s">
        <v>159</v>
      </c>
      <c r="I137" s="101" t="s">
        <v>1014</v>
      </c>
      <c r="J137" s="115" t="s">
        <v>1013</v>
      </c>
      <c r="K137" s="98" t="s">
        <v>1091</v>
      </c>
      <c r="L137" s="98" t="s">
        <v>978</v>
      </c>
      <c r="M137" s="101"/>
      <c r="N137" s="101"/>
      <c r="O137" s="101" t="s">
        <v>977</v>
      </c>
      <c r="P137" s="101"/>
      <c r="Q137" s="101"/>
      <c r="R137" s="101"/>
      <c r="S137" s="101"/>
      <c r="T137" s="101"/>
      <c r="U137" s="98">
        <v>0.89500000000000002</v>
      </c>
      <c r="V137" s="101"/>
      <c r="W137" s="101"/>
      <c r="X137" s="101">
        <f t="shared" si="4"/>
        <v>0.89500000000000002</v>
      </c>
      <c r="Y137" s="111">
        <v>6.39</v>
      </c>
      <c r="Z137" s="106" t="str">
        <f t="shared" si="5"/>
        <v>S</v>
      </c>
      <c r="AA137" s="150" t="s">
        <v>1320</v>
      </c>
      <c r="AB137" s="151">
        <f>AVERAGE($Y$133:$Y$174)</f>
        <v>7.6673809523809515</v>
      </c>
      <c r="AC137" s="151">
        <f>MEDIAN($Y$133:$Y$174)</f>
        <v>7.5150000000000006</v>
      </c>
      <c r="AD137" s="151">
        <f>MAX($Y$133:$Y$174)</f>
        <v>12.09</v>
      </c>
      <c r="AE137" s="151">
        <f>MIN($Y$133:$Y$174)</f>
        <v>6.2</v>
      </c>
      <c r="AF137" s="151">
        <f>STDEV($Y$133:$Y$174)</f>
        <v>1.1676389759531502</v>
      </c>
      <c r="AG137" s="307">
        <f>COUNT($Y$133:$Y$174)</f>
        <v>42</v>
      </c>
      <c r="AH137" s="107"/>
      <c r="AI137" s="107"/>
    </row>
    <row r="138" spans="1:35" s="118" customFormat="1">
      <c r="A138" s="101"/>
      <c r="B138" s="123" t="s">
        <v>766</v>
      </c>
      <c r="C138" s="98">
        <v>2013</v>
      </c>
      <c r="D138" s="101"/>
      <c r="E138" s="99" t="s">
        <v>172</v>
      </c>
      <c r="F138" s="98">
        <v>2011</v>
      </c>
      <c r="G138" s="98" t="s">
        <v>631</v>
      </c>
      <c r="H138" s="101" t="s">
        <v>159</v>
      </c>
      <c r="I138" s="101" t="s">
        <v>1014</v>
      </c>
      <c r="J138" s="115" t="s">
        <v>1013</v>
      </c>
      <c r="K138" s="98" t="s">
        <v>1091</v>
      </c>
      <c r="L138" s="98" t="s">
        <v>975</v>
      </c>
      <c r="M138" s="101"/>
      <c r="N138" s="101"/>
      <c r="O138" s="101" t="s">
        <v>976</v>
      </c>
      <c r="P138" s="101"/>
      <c r="Q138" s="101"/>
      <c r="R138" s="101"/>
      <c r="S138" s="101"/>
      <c r="T138" s="101"/>
      <c r="U138" s="98">
        <v>0.89400000000000002</v>
      </c>
      <c r="V138" s="101"/>
      <c r="W138" s="101"/>
      <c r="X138" s="101">
        <f t="shared" si="4"/>
        <v>0.89400000000000002</v>
      </c>
      <c r="Y138" s="111">
        <v>7.05</v>
      </c>
      <c r="Z138" s="106" t="str">
        <f t="shared" si="5"/>
        <v>S</v>
      </c>
      <c r="AA138" s="107"/>
      <c r="AB138" s="107"/>
      <c r="AC138" s="107"/>
      <c r="AD138" s="107"/>
      <c r="AE138" s="107"/>
      <c r="AF138" s="107"/>
      <c r="AG138" s="107"/>
      <c r="AH138" s="107"/>
      <c r="AI138" s="107"/>
    </row>
    <row r="139" spans="1:35" s="118" customFormat="1">
      <c r="A139" s="101"/>
      <c r="B139" s="123" t="s">
        <v>766</v>
      </c>
      <c r="C139" s="98">
        <v>2013</v>
      </c>
      <c r="D139" s="101"/>
      <c r="E139" s="99" t="s">
        <v>172</v>
      </c>
      <c r="F139" s="98">
        <v>2011</v>
      </c>
      <c r="G139" s="98" t="s">
        <v>631</v>
      </c>
      <c r="H139" s="101" t="s">
        <v>159</v>
      </c>
      <c r="I139" s="101" t="s">
        <v>1014</v>
      </c>
      <c r="J139" s="115" t="s">
        <v>1013</v>
      </c>
      <c r="K139" s="98" t="s">
        <v>1091</v>
      </c>
      <c r="L139" s="98" t="s">
        <v>974</v>
      </c>
      <c r="M139" s="101"/>
      <c r="N139" s="101"/>
      <c r="O139" s="101" t="s">
        <v>972</v>
      </c>
      <c r="P139" s="101"/>
      <c r="Q139" s="101"/>
      <c r="R139" s="101"/>
      <c r="S139" s="101"/>
      <c r="T139" s="101"/>
      <c r="U139" s="98">
        <v>0.89200000000000002</v>
      </c>
      <c r="V139" s="101"/>
      <c r="W139" s="101"/>
      <c r="X139" s="101">
        <f t="shared" si="4"/>
        <v>0.89200000000000002</v>
      </c>
      <c r="Y139" s="111">
        <v>6.62</v>
      </c>
      <c r="Z139" s="106" t="str">
        <f t="shared" si="5"/>
        <v>S</v>
      </c>
      <c r="AA139" s="150" t="s">
        <v>1389</v>
      </c>
      <c r="AB139" s="151">
        <f>AVERAGE($Y$177:$Y$201)</f>
        <v>3.7358540914800007</v>
      </c>
      <c r="AC139" s="151">
        <f>MEDIAN($Y$177:$Y$201)</f>
        <v>3.5297411639999998</v>
      </c>
      <c r="AD139" s="151">
        <f>MAX($Y$177:$Y$201)</f>
        <v>6.32</v>
      </c>
      <c r="AE139" s="151">
        <f>MIN($Y$177:$Y$201)</f>
        <v>1.620187928</v>
      </c>
      <c r="AF139" s="151">
        <f>STDEV($Y$177:$Y$201)</f>
        <v>1.0538392081345296</v>
      </c>
      <c r="AG139" s="307">
        <f>COUNT($Y$177:$Y$201)</f>
        <v>25</v>
      </c>
      <c r="AH139" s="107"/>
      <c r="AI139" s="107"/>
    </row>
    <row r="140" spans="1:35" s="118" customFormat="1">
      <c r="A140" s="101"/>
      <c r="B140" s="123" t="s">
        <v>766</v>
      </c>
      <c r="C140" s="98">
        <v>2013</v>
      </c>
      <c r="D140" s="101"/>
      <c r="E140" s="99" t="s">
        <v>172</v>
      </c>
      <c r="F140" s="98">
        <v>2011</v>
      </c>
      <c r="G140" s="98" t="s">
        <v>631</v>
      </c>
      <c r="H140" s="101" t="s">
        <v>159</v>
      </c>
      <c r="I140" s="101" t="s">
        <v>1014</v>
      </c>
      <c r="J140" s="115" t="s">
        <v>1013</v>
      </c>
      <c r="K140" s="98" t="s">
        <v>1091</v>
      </c>
      <c r="L140" s="98" t="s">
        <v>974</v>
      </c>
      <c r="M140" s="101"/>
      <c r="N140" s="101"/>
      <c r="O140" s="101" t="s">
        <v>972</v>
      </c>
      <c r="P140" s="101"/>
      <c r="Q140" s="101"/>
      <c r="R140" s="101"/>
      <c r="S140" s="101"/>
      <c r="T140" s="101"/>
      <c r="U140" s="98">
        <v>0.89200000000000002</v>
      </c>
      <c r="V140" s="101"/>
      <c r="W140" s="101"/>
      <c r="X140" s="101">
        <f t="shared" si="4"/>
        <v>0.89200000000000002</v>
      </c>
      <c r="Y140" s="111">
        <v>6.23</v>
      </c>
      <c r="Z140" s="106" t="str">
        <f t="shared" si="5"/>
        <v>S</v>
      </c>
      <c r="AA140" s="150" t="s">
        <v>1321</v>
      </c>
      <c r="AB140" s="151">
        <f>AVERAGE($Y$178:$Y$199)</f>
        <v>3.6501609480909094</v>
      </c>
      <c r="AC140" s="151">
        <f>MEDIAN($Y$178:$Y$199)</f>
        <v>3.527621736</v>
      </c>
      <c r="AD140" s="151">
        <f>MAX($Y$178:$Y$199)</f>
        <v>6.32</v>
      </c>
      <c r="AE140" s="151">
        <f>MIN($Y$178:$Y$199)</f>
        <v>1.620187928</v>
      </c>
      <c r="AF140" s="151">
        <f>STDEV($Y$178:$Y$199)</f>
        <v>1.0339086915525915</v>
      </c>
      <c r="AG140" s="307">
        <f>COUNT($Y$178:$Y$199)</f>
        <v>22</v>
      </c>
      <c r="AH140" s="107"/>
      <c r="AI140" s="107"/>
    </row>
    <row r="141" spans="1:35" s="107" customFormat="1">
      <c r="A141" s="101"/>
      <c r="B141" s="123" t="s">
        <v>766</v>
      </c>
      <c r="C141" s="98">
        <v>2013</v>
      </c>
      <c r="D141" s="101"/>
      <c r="E141" s="99" t="s">
        <v>172</v>
      </c>
      <c r="F141" s="98">
        <v>2011</v>
      </c>
      <c r="G141" s="98" t="s">
        <v>631</v>
      </c>
      <c r="H141" s="101" t="s">
        <v>159</v>
      </c>
      <c r="I141" s="101" t="s">
        <v>1014</v>
      </c>
      <c r="J141" s="115" t="s">
        <v>1013</v>
      </c>
      <c r="K141" s="98" t="s">
        <v>1091</v>
      </c>
      <c r="L141" s="98" t="s">
        <v>974</v>
      </c>
      <c r="M141" s="101"/>
      <c r="N141" s="101"/>
      <c r="O141" s="101" t="s">
        <v>972</v>
      </c>
      <c r="P141" s="101"/>
      <c r="Q141" s="101"/>
      <c r="R141" s="101"/>
      <c r="S141" s="101"/>
      <c r="T141" s="101"/>
      <c r="U141" s="98">
        <v>0.89</v>
      </c>
      <c r="V141" s="101"/>
      <c r="W141" s="101"/>
      <c r="X141" s="101">
        <f t="shared" si="4"/>
        <v>0.89</v>
      </c>
      <c r="Y141" s="111">
        <v>6.74</v>
      </c>
      <c r="Z141" s="106" t="str">
        <f t="shared" si="5"/>
        <v>S</v>
      </c>
      <c r="AA141" s="150" t="s">
        <v>1322</v>
      </c>
      <c r="AB141" s="151">
        <f>AVERAGE($Y$200:$Y$201)</f>
        <v>5.0464057145000005</v>
      </c>
      <c r="AC141" s="151">
        <f>MEDIAN($Y$200:$Y$201)</f>
        <v>5.0464057145000005</v>
      </c>
      <c r="AD141" s="151">
        <f>MAX($Y$200:$Y$201)</f>
        <v>5.23</v>
      </c>
      <c r="AE141" s="151">
        <f>MIN($Y$200:$Y$201)</f>
        <v>4.8628114289999997</v>
      </c>
      <c r="AF141" s="151">
        <f>STDEV($Y$200:$Y$201)</f>
        <v>0.25964152852829858</v>
      </c>
      <c r="AG141" s="307">
        <f>COUNT($Y$200:$Y$201)</f>
        <v>2</v>
      </c>
    </row>
    <row r="142" spans="1:35" s="107" customFormat="1">
      <c r="A142" s="101"/>
      <c r="B142" s="123" t="s">
        <v>766</v>
      </c>
      <c r="C142" s="98">
        <v>2013</v>
      </c>
      <c r="D142" s="101"/>
      <c r="E142" s="99" t="s">
        <v>172</v>
      </c>
      <c r="F142" s="98">
        <v>2011</v>
      </c>
      <c r="G142" s="98" t="s">
        <v>631</v>
      </c>
      <c r="H142" s="101" t="s">
        <v>159</v>
      </c>
      <c r="I142" s="101" t="s">
        <v>1014</v>
      </c>
      <c r="J142" s="115" t="s">
        <v>1013</v>
      </c>
      <c r="K142" s="98" t="s">
        <v>1091</v>
      </c>
      <c r="L142" s="98" t="s">
        <v>974</v>
      </c>
      <c r="M142" s="101"/>
      <c r="N142" s="101"/>
      <c r="O142" s="101" t="s">
        <v>972</v>
      </c>
      <c r="P142" s="101"/>
      <c r="Q142" s="101"/>
      <c r="R142" s="101"/>
      <c r="S142" s="101"/>
      <c r="T142" s="101"/>
      <c r="U142" s="98">
        <v>0.89</v>
      </c>
      <c r="V142" s="101"/>
      <c r="W142" s="101"/>
      <c r="X142" s="101">
        <f t="shared" si="4"/>
        <v>0.89</v>
      </c>
      <c r="Y142" s="111">
        <v>6.8</v>
      </c>
      <c r="Z142" s="106" t="str">
        <f t="shared" si="5"/>
        <v>S</v>
      </c>
    </row>
    <row r="143" spans="1:35" s="107" customFormat="1">
      <c r="A143" s="101"/>
      <c r="B143" s="123" t="s">
        <v>766</v>
      </c>
      <c r="C143" s="98">
        <v>2013</v>
      </c>
      <c r="D143" s="101"/>
      <c r="E143" s="99" t="s">
        <v>172</v>
      </c>
      <c r="F143" s="98">
        <v>2011</v>
      </c>
      <c r="G143" s="98" t="s">
        <v>631</v>
      </c>
      <c r="H143" s="101" t="s">
        <v>159</v>
      </c>
      <c r="I143" s="101" t="s">
        <v>1014</v>
      </c>
      <c r="J143" s="115" t="s">
        <v>1013</v>
      </c>
      <c r="K143" s="98" t="s">
        <v>1091</v>
      </c>
      <c r="L143" s="98" t="s">
        <v>975</v>
      </c>
      <c r="M143" s="101"/>
      <c r="N143" s="101"/>
      <c r="O143" s="101" t="s">
        <v>976</v>
      </c>
      <c r="P143" s="101"/>
      <c r="Q143" s="101"/>
      <c r="R143" s="101"/>
      <c r="S143" s="101"/>
      <c r="T143" s="101"/>
      <c r="U143" s="98">
        <v>0.89</v>
      </c>
      <c r="V143" s="101"/>
      <c r="W143" s="101"/>
      <c r="X143" s="101">
        <f t="shared" si="4"/>
        <v>0.89</v>
      </c>
      <c r="Y143" s="111">
        <v>7.57</v>
      </c>
      <c r="Z143" s="106" t="str">
        <f t="shared" si="5"/>
        <v>S</v>
      </c>
    </row>
    <row r="144" spans="1:35" s="107" customFormat="1">
      <c r="A144" s="101"/>
      <c r="B144" s="123" t="s">
        <v>766</v>
      </c>
      <c r="C144" s="98">
        <v>2013</v>
      </c>
      <c r="D144" s="101"/>
      <c r="E144" s="99" t="s">
        <v>172</v>
      </c>
      <c r="F144" s="98">
        <v>2011</v>
      </c>
      <c r="G144" s="98" t="s">
        <v>631</v>
      </c>
      <c r="H144" s="101" t="s">
        <v>159</v>
      </c>
      <c r="I144" s="101" t="s">
        <v>1014</v>
      </c>
      <c r="J144" s="115" t="s">
        <v>1013</v>
      </c>
      <c r="K144" s="98" t="s">
        <v>1091</v>
      </c>
      <c r="L144" s="98" t="s">
        <v>974</v>
      </c>
      <c r="M144" s="101"/>
      <c r="N144" s="101"/>
      <c r="O144" s="101" t="s">
        <v>972</v>
      </c>
      <c r="P144" s="101"/>
      <c r="Q144" s="101"/>
      <c r="R144" s="101"/>
      <c r="S144" s="101"/>
      <c r="T144" s="101"/>
      <c r="U144" s="98">
        <v>0.88900000000000001</v>
      </c>
      <c r="V144" s="101"/>
      <c r="W144" s="101"/>
      <c r="X144" s="101">
        <f t="shared" si="4"/>
        <v>0.88900000000000001</v>
      </c>
      <c r="Y144" s="111">
        <v>6.77</v>
      </c>
      <c r="Z144" s="106" t="str">
        <f t="shared" si="5"/>
        <v>S</v>
      </c>
    </row>
    <row r="145" spans="1:26" s="107" customFormat="1">
      <c r="A145" s="101"/>
      <c r="B145" s="123" t="s">
        <v>766</v>
      </c>
      <c r="C145" s="98">
        <v>2013</v>
      </c>
      <c r="D145" s="101"/>
      <c r="E145" s="99" t="s">
        <v>172</v>
      </c>
      <c r="F145" s="98">
        <v>2011</v>
      </c>
      <c r="G145" s="98" t="s">
        <v>631</v>
      </c>
      <c r="H145" s="101" t="s">
        <v>159</v>
      </c>
      <c r="I145" s="101" t="s">
        <v>1014</v>
      </c>
      <c r="J145" s="115" t="s">
        <v>1013</v>
      </c>
      <c r="K145" s="98" t="s">
        <v>1091</v>
      </c>
      <c r="L145" s="98" t="s">
        <v>978</v>
      </c>
      <c r="M145" s="101"/>
      <c r="N145" s="101"/>
      <c r="O145" s="101" t="s">
        <v>977</v>
      </c>
      <c r="P145" s="101"/>
      <c r="Q145" s="101"/>
      <c r="R145" s="101"/>
      <c r="S145" s="101"/>
      <c r="T145" s="101"/>
      <c r="U145" s="98">
        <v>0.88900000000000001</v>
      </c>
      <c r="V145" s="101"/>
      <c r="W145" s="101"/>
      <c r="X145" s="101">
        <f t="shared" si="4"/>
        <v>0.88900000000000001</v>
      </c>
      <c r="Y145" s="111">
        <v>7.76</v>
      </c>
      <c r="Z145" s="106" t="str">
        <f t="shared" si="5"/>
        <v>S</v>
      </c>
    </row>
    <row r="146" spans="1:26" s="107" customFormat="1">
      <c r="A146" s="101"/>
      <c r="B146" s="123" t="s">
        <v>766</v>
      </c>
      <c r="C146" s="98">
        <v>2013</v>
      </c>
      <c r="D146" s="101"/>
      <c r="E146" s="99" t="s">
        <v>172</v>
      </c>
      <c r="F146" s="98">
        <v>2011</v>
      </c>
      <c r="G146" s="98" t="s">
        <v>631</v>
      </c>
      <c r="H146" s="101" t="s">
        <v>159</v>
      </c>
      <c r="I146" s="101" t="s">
        <v>1014</v>
      </c>
      <c r="J146" s="115" t="s">
        <v>1013</v>
      </c>
      <c r="K146" s="98" t="s">
        <v>1091</v>
      </c>
      <c r="L146" s="98" t="s">
        <v>974</v>
      </c>
      <c r="M146" s="101"/>
      <c r="N146" s="101"/>
      <c r="O146" s="101" t="s">
        <v>972</v>
      </c>
      <c r="P146" s="101"/>
      <c r="Q146" s="101"/>
      <c r="R146" s="101"/>
      <c r="S146" s="101"/>
      <c r="T146" s="101"/>
      <c r="U146" s="98">
        <v>0.88600000000000001</v>
      </c>
      <c r="V146" s="101"/>
      <c r="W146" s="101"/>
      <c r="X146" s="101">
        <f t="shared" si="4"/>
        <v>0.88600000000000001</v>
      </c>
      <c r="Y146" s="111">
        <v>6.8</v>
      </c>
      <c r="Z146" s="106" t="str">
        <f t="shared" si="5"/>
        <v>S</v>
      </c>
    </row>
    <row r="147" spans="1:26" s="107" customFormat="1">
      <c r="A147" s="101"/>
      <c r="B147" s="123" t="s">
        <v>766</v>
      </c>
      <c r="C147" s="98">
        <v>2013</v>
      </c>
      <c r="D147" s="101"/>
      <c r="E147" s="99" t="s">
        <v>172</v>
      </c>
      <c r="F147" s="98">
        <v>2011</v>
      </c>
      <c r="G147" s="98" t="s">
        <v>631</v>
      </c>
      <c r="H147" s="101" t="s">
        <v>159</v>
      </c>
      <c r="I147" s="101" t="s">
        <v>1014</v>
      </c>
      <c r="J147" s="115" t="s">
        <v>1013</v>
      </c>
      <c r="K147" s="98" t="s">
        <v>1091</v>
      </c>
      <c r="L147" s="98" t="s">
        <v>978</v>
      </c>
      <c r="M147" s="101"/>
      <c r="N147" s="101"/>
      <c r="O147" s="101" t="s">
        <v>977</v>
      </c>
      <c r="P147" s="101"/>
      <c r="Q147" s="101"/>
      <c r="R147" s="101"/>
      <c r="S147" s="101"/>
      <c r="T147" s="101"/>
      <c r="U147" s="98">
        <v>0.88600000000000001</v>
      </c>
      <c r="V147" s="101"/>
      <c r="W147" s="101"/>
      <c r="X147" s="101">
        <f t="shared" si="4"/>
        <v>0.88600000000000001</v>
      </c>
      <c r="Y147" s="111">
        <v>7.15</v>
      </c>
      <c r="Z147" s="106" t="str">
        <f t="shared" si="5"/>
        <v>S</v>
      </c>
    </row>
    <row r="148" spans="1:26" s="107" customFormat="1">
      <c r="A148" s="101"/>
      <c r="B148" s="123" t="s">
        <v>766</v>
      </c>
      <c r="C148" s="98">
        <v>2013</v>
      </c>
      <c r="D148" s="101"/>
      <c r="E148" s="99" t="s">
        <v>172</v>
      </c>
      <c r="F148" s="98">
        <v>2011</v>
      </c>
      <c r="G148" s="98" t="s">
        <v>631</v>
      </c>
      <c r="H148" s="101" t="s">
        <v>159</v>
      </c>
      <c r="I148" s="101" t="s">
        <v>1014</v>
      </c>
      <c r="J148" s="115" t="s">
        <v>1013</v>
      </c>
      <c r="K148" s="98" t="s">
        <v>1091</v>
      </c>
      <c r="L148" s="98" t="s">
        <v>978</v>
      </c>
      <c r="M148" s="101"/>
      <c r="N148" s="101"/>
      <c r="O148" s="101" t="s">
        <v>977</v>
      </c>
      <c r="P148" s="101"/>
      <c r="Q148" s="101"/>
      <c r="R148" s="101"/>
      <c r="S148" s="101"/>
      <c r="T148" s="101"/>
      <c r="U148" s="98">
        <v>0.88500000000000001</v>
      </c>
      <c r="V148" s="101"/>
      <c r="W148" s="101"/>
      <c r="X148" s="101">
        <f t="shared" si="4"/>
        <v>0.88500000000000001</v>
      </c>
      <c r="Y148" s="111">
        <v>7.74</v>
      </c>
      <c r="Z148" s="106" t="str">
        <f t="shared" si="5"/>
        <v>S</v>
      </c>
    </row>
    <row r="149" spans="1:26" s="107" customFormat="1">
      <c r="A149" s="101"/>
      <c r="B149" s="123" t="s">
        <v>766</v>
      </c>
      <c r="C149" s="98">
        <v>2013</v>
      </c>
      <c r="D149" s="101"/>
      <c r="E149" s="99" t="s">
        <v>172</v>
      </c>
      <c r="F149" s="98">
        <v>2011</v>
      </c>
      <c r="G149" s="98" t="s">
        <v>631</v>
      </c>
      <c r="H149" s="101" t="s">
        <v>159</v>
      </c>
      <c r="I149" s="101" t="s">
        <v>1014</v>
      </c>
      <c r="J149" s="115" t="s">
        <v>1013</v>
      </c>
      <c r="K149" s="98" t="s">
        <v>1091</v>
      </c>
      <c r="L149" s="98" t="s">
        <v>974</v>
      </c>
      <c r="M149" s="101"/>
      <c r="N149" s="101"/>
      <c r="O149" s="101" t="s">
        <v>972</v>
      </c>
      <c r="P149" s="101"/>
      <c r="Q149" s="101"/>
      <c r="R149" s="101"/>
      <c r="S149" s="101"/>
      <c r="T149" s="101"/>
      <c r="U149" s="98">
        <v>0.88500000000000001</v>
      </c>
      <c r="V149" s="101"/>
      <c r="W149" s="101"/>
      <c r="X149" s="101">
        <f t="shared" si="4"/>
        <v>0.88500000000000001</v>
      </c>
      <c r="Y149" s="111">
        <v>7.18</v>
      </c>
      <c r="Z149" s="106" t="str">
        <f t="shared" si="5"/>
        <v>S</v>
      </c>
    </row>
    <row r="150" spans="1:26" s="107" customFormat="1">
      <c r="A150" s="101"/>
      <c r="B150" s="123" t="s">
        <v>766</v>
      </c>
      <c r="C150" s="98">
        <v>2013</v>
      </c>
      <c r="D150" s="101"/>
      <c r="E150" s="99" t="s">
        <v>172</v>
      </c>
      <c r="F150" s="98">
        <v>2011</v>
      </c>
      <c r="G150" s="98" t="s">
        <v>631</v>
      </c>
      <c r="H150" s="101" t="s">
        <v>159</v>
      </c>
      <c r="I150" s="101" t="s">
        <v>1014</v>
      </c>
      <c r="J150" s="115" t="s">
        <v>1013</v>
      </c>
      <c r="K150" s="98" t="s">
        <v>1091</v>
      </c>
      <c r="L150" s="98" t="s">
        <v>974</v>
      </c>
      <c r="M150" s="101"/>
      <c r="N150" s="101"/>
      <c r="O150" s="101" t="s">
        <v>972</v>
      </c>
      <c r="P150" s="101"/>
      <c r="Q150" s="101"/>
      <c r="R150" s="101"/>
      <c r="S150" s="101"/>
      <c r="T150" s="101"/>
      <c r="U150" s="98">
        <v>0.88400000000000001</v>
      </c>
      <c r="V150" s="101"/>
      <c r="W150" s="101"/>
      <c r="X150" s="101">
        <f t="shared" si="4"/>
        <v>0.88400000000000001</v>
      </c>
      <c r="Y150" s="111">
        <v>6.65</v>
      </c>
      <c r="Z150" s="106" t="str">
        <f t="shared" si="5"/>
        <v>S</v>
      </c>
    </row>
    <row r="151" spans="1:26" s="107" customFormat="1">
      <c r="A151" s="101"/>
      <c r="B151" s="123" t="s">
        <v>766</v>
      </c>
      <c r="C151" s="98">
        <v>2013</v>
      </c>
      <c r="D151" s="101"/>
      <c r="E151" s="99" t="s">
        <v>172</v>
      </c>
      <c r="F151" s="98">
        <v>2011</v>
      </c>
      <c r="G151" s="98" t="s">
        <v>631</v>
      </c>
      <c r="H151" s="101" t="s">
        <v>159</v>
      </c>
      <c r="I151" s="101" t="s">
        <v>1014</v>
      </c>
      <c r="J151" s="115" t="s">
        <v>1013</v>
      </c>
      <c r="K151" s="98" t="s">
        <v>1091</v>
      </c>
      <c r="L151" s="98" t="s">
        <v>974</v>
      </c>
      <c r="M151" s="101"/>
      <c r="N151" s="101"/>
      <c r="O151" s="101" t="s">
        <v>972</v>
      </c>
      <c r="P151" s="101"/>
      <c r="Q151" s="101"/>
      <c r="R151" s="101"/>
      <c r="S151" s="101"/>
      <c r="T151" s="101"/>
      <c r="U151" s="98">
        <v>0.88400000000000001</v>
      </c>
      <c r="V151" s="101"/>
      <c r="W151" s="101"/>
      <c r="X151" s="101">
        <f t="shared" si="4"/>
        <v>0.88400000000000001</v>
      </c>
      <c r="Y151" s="111">
        <v>7.83</v>
      </c>
      <c r="Z151" s="106" t="str">
        <f t="shared" si="5"/>
        <v>S</v>
      </c>
    </row>
    <row r="152" spans="1:26" s="107" customFormat="1">
      <c r="A152" s="101"/>
      <c r="B152" s="123" t="s">
        <v>766</v>
      </c>
      <c r="C152" s="98">
        <v>2013</v>
      </c>
      <c r="D152" s="101"/>
      <c r="E152" s="99" t="s">
        <v>172</v>
      </c>
      <c r="F152" s="98">
        <v>2011</v>
      </c>
      <c r="G152" s="98" t="s">
        <v>631</v>
      </c>
      <c r="H152" s="101" t="s">
        <v>159</v>
      </c>
      <c r="I152" s="101" t="s">
        <v>1014</v>
      </c>
      <c r="J152" s="115" t="s">
        <v>1013</v>
      </c>
      <c r="K152" s="98" t="s">
        <v>1091</v>
      </c>
      <c r="L152" s="98" t="s">
        <v>978</v>
      </c>
      <c r="M152" s="101"/>
      <c r="N152" s="101"/>
      <c r="O152" s="101" t="s">
        <v>977</v>
      </c>
      <c r="P152" s="101"/>
      <c r="Q152" s="101"/>
      <c r="R152" s="101"/>
      <c r="S152" s="101"/>
      <c r="T152" s="101"/>
      <c r="U152" s="98">
        <v>0.879</v>
      </c>
      <c r="V152" s="101"/>
      <c r="W152" s="101"/>
      <c r="X152" s="101">
        <f t="shared" ref="X152:X183" si="6">IF(R152&lt;&gt;0,IF(R152&gt;1,R152/100,R152),IF(U152&lt;&gt;0,IF(U152&gt;1,U152/100,U152),""))</f>
        <v>0.879</v>
      </c>
      <c r="Y152" s="111">
        <v>6.41</v>
      </c>
      <c r="Z152" s="106" t="str">
        <f t="shared" ref="Z152:Z183" si="7">IF(X152&lt;&gt;"",IF(X152&lt;0.9,"S","F"),"")</f>
        <v>S</v>
      </c>
    </row>
    <row r="153" spans="1:26" s="107" customFormat="1">
      <c r="A153" s="101"/>
      <c r="B153" s="123" t="s">
        <v>766</v>
      </c>
      <c r="C153" s="98">
        <v>2013</v>
      </c>
      <c r="D153" s="101"/>
      <c r="E153" s="99" t="s">
        <v>172</v>
      </c>
      <c r="F153" s="98">
        <v>2011</v>
      </c>
      <c r="G153" s="98" t="s">
        <v>631</v>
      </c>
      <c r="H153" s="101" t="s">
        <v>159</v>
      </c>
      <c r="I153" s="101" t="s">
        <v>1014</v>
      </c>
      <c r="J153" s="115" t="s">
        <v>1013</v>
      </c>
      <c r="K153" s="98" t="s">
        <v>1091</v>
      </c>
      <c r="L153" s="98" t="s">
        <v>978</v>
      </c>
      <c r="M153" s="101"/>
      <c r="N153" s="101"/>
      <c r="O153" s="101" t="s">
        <v>977</v>
      </c>
      <c r="P153" s="101"/>
      <c r="Q153" s="101"/>
      <c r="R153" s="101"/>
      <c r="S153" s="101"/>
      <c r="T153" s="101"/>
      <c r="U153" s="98">
        <v>0.878</v>
      </c>
      <c r="V153" s="101"/>
      <c r="W153" s="101"/>
      <c r="X153" s="101">
        <f t="shared" si="6"/>
        <v>0.878</v>
      </c>
      <c r="Y153" s="111">
        <v>7.36</v>
      </c>
      <c r="Z153" s="106" t="str">
        <f t="shared" si="7"/>
        <v>S</v>
      </c>
    </row>
    <row r="154" spans="1:26" s="107" customFormat="1">
      <c r="A154" s="101"/>
      <c r="B154" s="123" t="s">
        <v>766</v>
      </c>
      <c r="C154" s="98">
        <v>2013</v>
      </c>
      <c r="D154" s="101"/>
      <c r="E154" s="99" t="s">
        <v>172</v>
      </c>
      <c r="F154" s="98">
        <v>2011</v>
      </c>
      <c r="G154" s="98" t="s">
        <v>631</v>
      </c>
      <c r="H154" s="101" t="s">
        <v>159</v>
      </c>
      <c r="I154" s="101" t="s">
        <v>1014</v>
      </c>
      <c r="J154" s="115" t="s">
        <v>1013</v>
      </c>
      <c r="K154" s="98" t="s">
        <v>1091</v>
      </c>
      <c r="L154" s="98" t="s">
        <v>974</v>
      </c>
      <c r="M154" s="101"/>
      <c r="N154" s="101"/>
      <c r="O154" s="101" t="s">
        <v>972</v>
      </c>
      <c r="P154" s="101"/>
      <c r="Q154" s="101"/>
      <c r="R154" s="101"/>
      <c r="S154" s="101"/>
      <c r="T154" s="101"/>
      <c r="U154" s="98">
        <v>0.876</v>
      </c>
      <c r="V154" s="101"/>
      <c r="W154" s="101"/>
      <c r="X154" s="101">
        <f t="shared" si="6"/>
        <v>0.876</v>
      </c>
      <c r="Y154" s="111">
        <v>7.34</v>
      </c>
      <c r="Z154" s="106" t="str">
        <f t="shared" si="7"/>
        <v>S</v>
      </c>
    </row>
    <row r="155" spans="1:26" s="107" customFormat="1">
      <c r="A155" s="101"/>
      <c r="B155" s="123" t="s">
        <v>766</v>
      </c>
      <c r="C155" s="98">
        <v>2013</v>
      </c>
      <c r="D155" s="101"/>
      <c r="E155" s="99" t="s">
        <v>172</v>
      </c>
      <c r="F155" s="98">
        <v>2011</v>
      </c>
      <c r="G155" s="98" t="s">
        <v>631</v>
      </c>
      <c r="H155" s="101" t="s">
        <v>159</v>
      </c>
      <c r="I155" s="101" t="s">
        <v>1014</v>
      </c>
      <c r="J155" s="115" t="s">
        <v>1013</v>
      </c>
      <c r="K155" s="98" t="s">
        <v>1091</v>
      </c>
      <c r="L155" s="98" t="s">
        <v>978</v>
      </c>
      <c r="M155" s="101"/>
      <c r="N155" s="101"/>
      <c r="O155" s="101" t="s">
        <v>977</v>
      </c>
      <c r="P155" s="101"/>
      <c r="Q155" s="101"/>
      <c r="R155" s="101"/>
      <c r="S155" s="101"/>
      <c r="T155" s="101"/>
      <c r="U155" s="98">
        <v>0.876</v>
      </c>
      <c r="V155" s="101"/>
      <c r="W155" s="101"/>
      <c r="X155" s="101">
        <f t="shared" si="6"/>
        <v>0.876</v>
      </c>
      <c r="Y155" s="111">
        <v>7.2</v>
      </c>
      <c r="Z155" s="106" t="str">
        <f t="shared" si="7"/>
        <v>S</v>
      </c>
    </row>
    <row r="156" spans="1:26" s="107" customFormat="1">
      <c r="A156" s="101"/>
      <c r="B156" s="123" t="s">
        <v>766</v>
      </c>
      <c r="C156" s="98">
        <v>2013</v>
      </c>
      <c r="D156" s="101"/>
      <c r="E156" s="99" t="s">
        <v>172</v>
      </c>
      <c r="F156" s="98">
        <v>2011</v>
      </c>
      <c r="G156" s="98" t="s">
        <v>631</v>
      </c>
      <c r="H156" s="101" t="s">
        <v>159</v>
      </c>
      <c r="I156" s="101" t="s">
        <v>1014</v>
      </c>
      <c r="J156" s="115" t="s">
        <v>1013</v>
      </c>
      <c r="K156" s="98" t="s">
        <v>1091</v>
      </c>
      <c r="L156" s="98" t="s">
        <v>978</v>
      </c>
      <c r="M156" s="101"/>
      <c r="N156" s="101"/>
      <c r="O156" s="101" t="s">
        <v>977</v>
      </c>
      <c r="P156" s="101"/>
      <c r="Q156" s="101"/>
      <c r="R156" s="101"/>
      <c r="S156" s="101"/>
      <c r="T156" s="101"/>
      <c r="U156" s="98">
        <v>0.876</v>
      </c>
      <c r="V156" s="101"/>
      <c r="W156" s="101"/>
      <c r="X156" s="101">
        <f t="shared" si="6"/>
        <v>0.876</v>
      </c>
      <c r="Y156" s="111">
        <v>9.6199999999999992</v>
      </c>
      <c r="Z156" s="106" t="str">
        <f t="shared" si="7"/>
        <v>S</v>
      </c>
    </row>
    <row r="157" spans="1:26" s="107" customFormat="1">
      <c r="A157" s="101"/>
      <c r="B157" s="123" t="s">
        <v>766</v>
      </c>
      <c r="C157" s="98">
        <v>2013</v>
      </c>
      <c r="D157" s="101"/>
      <c r="E157" s="99" t="s">
        <v>172</v>
      </c>
      <c r="F157" s="98">
        <v>2011</v>
      </c>
      <c r="G157" s="98" t="s">
        <v>631</v>
      </c>
      <c r="H157" s="101" t="s">
        <v>159</v>
      </c>
      <c r="I157" s="101" t="s">
        <v>1014</v>
      </c>
      <c r="J157" s="115" t="s">
        <v>1013</v>
      </c>
      <c r="K157" s="98" t="s">
        <v>1091</v>
      </c>
      <c r="L157" s="98" t="s">
        <v>978</v>
      </c>
      <c r="M157" s="101"/>
      <c r="N157" s="101"/>
      <c r="O157" s="101" t="s">
        <v>977</v>
      </c>
      <c r="P157" s="101"/>
      <c r="Q157" s="101"/>
      <c r="R157" s="101"/>
      <c r="S157" s="101"/>
      <c r="T157" s="101"/>
      <c r="U157" s="98">
        <v>0.876</v>
      </c>
      <c r="V157" s="101"/>
      <c r="W157" s="101"/>
      <c r="X157" s="101">
        <f t="shared" si="6"/>
        <v>0.876</v>
      </c>
      <c r="Y157" s="111">
        <v>7.69</v>
      </c>
      <c r="Z157" s="106" t="str">
        <f t="shared" si="7"/>
        <v>S</v>
      </c>
    </row>
    <row r="158" spans="1:26" s="107" customFormat="1">
      <c r="A158" s="101"/>
      <c r="B158" s="123" t="s">
        <v>766</v>
      </c>
      <c r="C158" s="98">
        <v>2013</v>
      </c>
      <c r="D158" s="101"/>
      <c r="E158" s="99" t="s">
        <v>172</v>
      </c>
      <c r="F158" s="98">
        <v>2011</v>
      </c>
      <c r="G158" s="98" t="s">
        <v>631</v>
      </c>
      <c r="H158" s="101" t="s">
        <v>159</v>
      </c>
      <c r="I158" s="101" t="s">
        <v>1014</v>
      </c>
      <c r="J158" s="115" t="s">
        <v>1013</v>
      </c>
      <c r="K158" s="98" t="s">
        <v>1091</v>
      </c>
      <c r="L158" s="98" t="s">
        <v>978</v>
      </c>
      <c r="M158" s="101"/>
      <c r="N158" s="101"/>
      <c r="O158" s="101" t="s">
        <v>977</v>
      </c>
      <c r="P158" s="101"/>
      <c r="Q158" s="101"/>
      <c r="R158" s="101"/>
      <c r="S158" s="101"/>
      <c r="T158" s="101"/>
      <c r="U158" s="98">
        <v>0.876</v>
      </c>
      <c r="V158" s="101"/>
      <c r="W158" s="101"/>
      <c r="X158" s="101">
        <f t="shared" si="6"/>
        <v>0.876</v>
      </c>
      <c r="Y158" s="111">
        <v>7.78</v>
      </c>
      <c r="Z158" s="106" t="str">
        <f t="shared" si="7"/>
        <v>S</v>
      </c>
    </row>
    <row r="159" spans="1:26" s="107" customFormat="1">
      <c r="A159" s="101"/>
      <c r="B159" s="123" t="s">
        <v>766</v>
      </c>
      <c r="C159" s="98">
        <v>2013</v>
      </c>
      <c r="D159" s="101"/>
      <c r="E159" s="99" t="s">
        <v>172</v>
      </c>
      <c r="F159" s="98">
        <v>2011</v>
      </c>
      <c r="G159" s="98" t="s">
        <v>631</v>
      </c>
      <c r="H159" s="101" t="s">
        <v>159</v>
      </c>
      <c r="I159" s="101" t="s">
        <v>1014</v>
      </c>
      <c r="J159" s="115" t="s">
        <v>1013</v>
      </c>
      <c r="K159" s="98" t="s">
        <v>1091</v>
      </c>
      <c r="L159" s="98" t="s">
        <v>978</v>
      </c>
      <c r="M159" s="101"/>
      <c r="N159" s="101"/>
      <c r="O159" s="101" t="s">
        <v>977</v>
      </c>
      <c r="P159" s="101"/>
      <c r="Q159" s="101"/>
      <c r="R159" s="101"/>
      <c r="S159" s="101"/>
      <c r="T159" s="101"/>
      <c r="U159" s="98">
        <v>0.875</v>
      </c>
      <c r="V159" s="101"/>
      <c r="W159" s="101"/>
      <c r="X159" s="101">
        <f t="shared" si="6"/>
        <v>0.875</v>
      </c>
      <c r="Y159" s="111">
        <v>8.09</v>
      </c>
      <c r="Z159" s="106" t="str">
        <f t="shared" si="7"/>
        <v>S</v>
      </c>
    </row>
    <row r="160" spans="1:26" s="107" customFormat="1">
      <c r="A160" s="101"/>
      <c r="B160" s="123" t="s">
        <v>766</v>
      </c>
      <c r="C160" s="98">
        <v>2013</v>
      </c>
      <c r="D160" s="101"/>
      <c r="E160" s="99" t="s">
        <v>172</v>
      </c>
      <c r="F160" s="98">
        <v>2011</v>
      </c>
      <c r="G160" s="98" t="s">
        <v>631</v>
      </c>
      <c r="H160" s="101" t="s">
        <v>159</v>
      </c>
      <c r="I160" s="101" t="s">
        <v>1014</v>
      </c>
      <c r="J160" s="115" t="s">
        <v>1013</v>
      </c>
      <c r="K160" s="98" t="s">
        <v>1091</v>
      </c>
      <c r="L160" s="98" t="s">
        <v>974</v>
      </c>
      <c r="M160" s="101"/>
      <c r="N160" s="101"/>
      <c r="O160" s="101" t="s">
        <v>972</v>
      </c>
      <c r="P160" s="101"/>
      <c r="Q160" s="101"/>
      <c r="R160" s="101"/>
      <c r="S160" s="101"/>
      <c r="T160" s="101"/>
      <c r="U160" s="98">
        <v>0.875</v>
      </c>
      <c r="V160" s="101"/>
      <c r="W160" s="101"/>
      <c r="X160" s="101">
        <f t="shared" si="6"/>
        <v>0.875</v>
      </c>
      <c r="Y160" s="111">
        <v>7.07</v>
      </c>
      <c r="Z160" s="106" t="str">
        <f t="shared" si="7"/>
        <v>S</v>
      </c>
    </row>
    <row r="161" spans="1:26" s="107" customFormat="1">
      <c r="A161" s="101"/>
      <c r="B161" s="123" t="s">
        <v>766</v>
      </c>
      <c r="C161" s="98">
        <v>2013</v>
      </c>
      <c r="D161" s="101"/>
      <c r="E161" s="99" t="s">
        <v>172</v>
      </c>
      <c r="F161" s="98">
        <v>2011</v>
      </c>
      <c r="G161" s="98" t="s">
        <v>631</v>
      </c>
      <c r="H161" s="101" t="s">
        <v>159</v>
      </c>
      <c r="I161" s="101" t="s">
        <v>1014</v>
      </c>
      <c r="J161" s="115" t="s">
        <v>1013</v>
      </c>
      <c r="K161" s="98" t="s">
        <v>1091</v>
      </c>
      <c r="L161" s="98" t="s">
        <v>974</v>
      </c>
      <c r="M161" s="101"/>
      <c r="N161" s="101"/>
      <c r="O161" s="101" t="s">
        <v>972</v>
      </c>
      <c r="P161" s="101"/>
      <c r="Q161" s="101"/>
      <c r="R161" s="101"/>
      <c r="S161" s="101"/>
      <c r="T161" s="101"/>
      <c r="U161" s="98">
        <v>0.875</v>
      </c>
      <c r="V161" s="101"/>
      <c r="W161" s="101"/>
      <c r="X161" s="101">
        <f t="shared" si="6"/>
        <v>0.875</v>
      </c>
      <c r="Y161" s="111">
        <v>9.5</v>
      </c>
      <c r="Z161" s="106" t="str">
        <f t="shared" si="7"/>
        <v>S</v>
      </c>
    </row>
    <row r="162" spans="1:26" s="107" customFormat="1">
      <c r="A162" s="101"/>
      <c r="B162" s="123" t="s">
        <v>766</v>
      </c>
      <c r="C162" s="98">
        <v>2013</v>
      </c>
      <c r="D162" s="101"/>
      <c r="E162" s="99" t="s">
        <v>172</v>
      </c>
      <c r="F162" s="98">
        <v>2011</v>
      </c>
      <c r="G162" s="98" t="s">
        <v>631</v>
      </c>
      <c r="H162" s="101" t="s">
        <v>159</v>
      </c>
      <c r="I162" s="101" t="s">
        <v>1014</v>
      </c>
      <c r="J162" s="115" t="s">
        <v>1013</v>
      </c>
      <c r="K162" s="98" t="s">
        <v>1091</v>
      </c>
      <c r="L162" s="98" t="s">
        <v>978</v>
      </c>
      <c r="M162" s="101"/>
      <c r="N162" s="101"/>
      <c r="O162" s="101" t="s">
        <v>977</v>
      </c>
      <c r="P162" s="101"/>
      <c r="Q162" s="101"/>
      <c r="R162" s="101"/>
      <c r="S162" s="101"/>
      <c r="T162" s="101"/>
      <c r="U162" s="98">
        <v>0.873</v>
      </c>
      <c r="V162" s="101"/>
      <c r="W162" s="101"/>
      <c r="X162" s="101">
        <f t="shared" si="6"/>
        <v>0.873</v>
      </c>
      <c r="Y162" s="111">
        <v>7.46</v>
      </c>
      <c r="Z162" s="106" t="str">
        <f t="shared" si="7"/>
        <v>S</v>
      </c>
    </row>
    <row r="163" spans="1:26" s="107" customFormat="1">
      <c r="A163" s="101"/>
      <c r="B163" s="123" t="s">
        <v>766</v>
      </c>
      <c r="C163" s="98">
        <v>2013</v>
      </c>
      <c r="D163" s="101"/>
      <c r="E163" s="99" t="s">
        <v>172</v>
      </c>
      <c r="F163" s="98">
        <v>2011</v>
      </c>
      <c r="G163" s="98" t="s">
        <v>631</v>
      </c>
      <c r="H163" s="101" t="s">
        <v>159</v>
      </c>
      <c r="I163" s="101" t="s">
        <v>1014</v>
      </c>
      <c r="J163" s="115" t="s">
        <v>1013</v>
      </c>
      <c r="K163" s="98" t="s">
        <v>1091</v>
      </c>
      <c r="L163" s="98" t="s">
        <v>974</v>
      </c>
      <c r="M163" s="101"/>
      <c r="N163" s="101"/>
      <c r="O163" s="101" t="s">
        <v>972</v>
      </c>
      <c r="P163" s="101"/>
      <c r="Q163" s="101"/>
      <c r="R163" s="101"/>
      <c r="S163" s="101"/>
      <c r="T163" s="101"/>
      <c r="U163" s="98">
        <v>0.871</v>
      </c>
      <c r="V163" s="101"/>
      <c r="W163" s="101"/>
      <c r="X163" s="101">
        <f t="shared" si="6"/>
        <v>0.871</v>
      </c>
      <c r="Y163" s="111">
        <v>8.5299999999999994</v>
      </c>
      <c r="Z163" s="106" t="str">
        <f t="shared" si="7"/>
        <v>S</v>
      </c>
    </row>
    <row r="164" spans="1:26" s="107" customFormat="1">
      <c r="A164" s="101"/>
      <c r="B164" s="123" t="s">
        <v>766</v>
      </c>
      <c r="C164" s="98">
        <v>2013</v>
      </c>
      <c r="D164" s="101"/>
      <c r="E164" s="99" t="s">
        <v>172</v>
      </c>
      <c r="F164" s="98">
        <v>2011</v>
      </c>
      <c r="G164" s="98" t="s">
        <v>631</v>
      </c>
      <c r="H164" s="101" t="s">
        <v>159</v>
      </c>
      <c r="I164" s="101" t="s">
        <v>1014</v>
      </c>
      <c r="J164" s="115" t="s">
        <v>1013</v>
      </c>
      <c r="K164" s="98" t="s">
        <v>1091</v>
      </c>
      <c r="L164" s="98" t="s">
        <v>978</v>
      </c>
      <c r="M164" s="101"/>
      <c r="N164" s="101"/>
      <c r="O164" s="101" t="s">
        <v>977</v>
      </c>
      <c r="P164" s="101"/>
      <c r="Q164" s="101"/>
      <c r="R164" s="101"/>
      <c r="S164" s="101"/>
      <c r="T164" s="101"/>
      <c r="U164" s="98">
        <v>0.871</v>
      </c>
      <c r="V164" s="101"/>
      <c r="W164" s="101"/>
      <c r="X164" s="101">
        <f t="shared" si="6"/>
        <v>0.871</v>
      </c>
      <c r="Y164" s="111">
        <v>7.7</v>
      </c>
      <c r="Z164" s="106" t="str">
        <f t="shared" si="7"/>
        <v>S</v>
      </c>
    </row>
    <row r="165" spans="1:26" s="107" customFormat="1">
      <c r="A165" s="101"/>
      <c r="B165" s="123" t="s">
        <v>766</v>
      </c>
      <c r="C165" s="98">
        <v>2013</v>
      </c>
      <c r="D165" s="101"/>
      <c r="E165" s="99" t="s">
        <v>172</v>
      </c>
      <c r="F165" s="98">
        <v>2011</v>
      </c>
      <c r="G165" s="98" t="s">
        <v>631</v>
      </c>
      <c r="H165" s="101" t="s">
        <v>159</v>
      </c>
      <c r="I165" s="101" t="s">
        <v>1014</v>
      </c>
      <c r="J165" s="115" t="s">
        <v>1013</v>
      </c>
      <c r="K165" s="98" t="s">
        <v>1091</v>
      </c>
      <c r="L165" s="98" t="s">
        <v>978</v>
      </c>
      <c r="M165" s="101"/>
      <c r="N165" s="101"/>
      <c r="O165" s="101" t="s">
        <v>977</v>
      </c>
      <c r="P165" s="101"/>
      <c r="Q165" s="101"/>
      <c r="R165" s="101"/>
      <c r="S165" s="101"/>
      <c r="T165" s="101"/>
      <c r="U165" s="98">
        <v>0.86899999999999999</v>
      </c>
      <c r="V165" s="101"/>
      <c r="W165" s="101"/>
      <c r="X165" s="101">
        <f t="shared" si="6"/>
        <v>0.86899999999999999</v>
      </c>
      <c r="Y165" s="111">
        <v>8.7100000000000009</v>
      </c>
      <c r="Z165" s="106" t="str">
        <f t="shared" si="7"/>
        <v>S</v>
      </c>
    </row>
    <row r="166" spans="1:26" s="107" customFormat="1">
      <c r="A166" s="101"/>
      <c r="B166" s="123" t="s">
        <v>766</v>
      </c>
      <c r="C166" s="98">
        <v>2013</v>
      </c>
      <c r="D166" s="101"/>
      <c r="E166" s="99" t="s">
        <v>172</v>
      </c>
      <c r="F166" s="98">
        <v>2011</v>
      </c>
      <c r="G166" s="98" t="s">
        <v>631</v>
      </c>
      <c r="H166" s="101" t="s">
        <v>159</v>
      </c>
      <c r="I166" s="101" t="s">
        <v>1014</v>
      </c>
      <c r="J166" s="115" t="s">
        <v>1013</v>
      </c>
      <c r="K166" s="98" t="s">
        <v>1091</v>
      </c>
      <c r="L166" s="98" t="s">
        <v>974</v>
      </c>
      <c r="M166" s="101"/>
      <c r="N166" s="101"/>
      <c r="O166" s="101" t="s">
        <v>972</v>
      </c>
      <c r="P166" s="101"/>
      <c r="Q166" s="101"/>
      <c r="R166" s="101"/>
      <c r="S166" s="101"/>
      <c r="T166" s="101"/>
      <c r="U166" s="98">
        <v>0.86899999999999999</v>
      </c>
      <c r="V166" s="101"/>
      <c r="W166" s="101"/>
      <c r="X166" s="101">
        <f t="shared" si="6"/>
        <v>0.86899999999999999</v>
      </c>
      <c r="Y166" s="111">
        <v>9</v>
      </c>
      <c r="Z166" s="106" t="str">
        <f t="shared" si="7"/>
        <v>S</v>
      </c>
    </row>
    <row r="167" spans="1:26" s="107" customFormat="1">
      <c r="A167" s="101"/>
      <c r="B167" s="123" t="s">
        <v>766</v>
      </c>
      <c r="C167" s="98">
        <v>2013</v>
      </c>
      <c r="D167" s="101"/>
      <c r="E167" s="99" t="s">
        <v>172</v>
      </c>
      <c r="F167" s="98">
        <v>2011</v>
      </c>
      <c r="G167" s="98" t="s">
        <v>631</v>
      </c>
      <c r="H167" s="101" t="s">
        <v>159</v>
      </c>
      <c r="I167" s="101" t="s">
        <v>1014</v>
      </c>
      <c r="J167" s="115" t="s">
        <v>1013</v>
      </c>
      <c r="K167" s="98" t="s">
        <v>1091</v>
      </c>
      <c r="L167" s="98" t="s">
        <v>975</v>
      </c>
      <c r="M167" s="101"/>
      <c r="N167" s="101"/>
      <c r="O167" s="101" t="s">
        <v>976</v>
      </c>
      <c r="P167" s="101"/>
      <c r="Q167" s="101"/>
      <c r="R167" s="101"/>
      <c r="S167" s="101"/>
      <c r="T167" s="101"/>
      <c r="U167" s="98">
        <v>0.86599999999999999</v>
      </c>
      <c r="V167" s="101"/>
      <c r="W167" s="101"/>
      <c r="X167" s="101">
        <f t="shared" si="6"/>
        <v>0.86599999999999999</v>
      </c>
      <c r="Y167" s="111">
        <v>8.57</v>
      </c>
      <c r="Z167" s="106" t="str">
        <f t="shared" si="7"/>
        <v>S</v>
      </c>
    </row>
    <row r="168" spans="1:26" s="107" customFormat="1">
      <c r="A168" s="101"/>
      <c r="B168" s="123" t="s">
        <v>766</v>
      </c>
      <c r="C168" s="98">
        <v>2013</v>
      </c>
      <c r="D168" s="101"/>
      <c r="E168" s="99" t="s">
        <v>172</v>
      </c>
      <c r="F168" s="98">
        <v>2011</v>
      </c>
      <c r="G168" s="98" t="s">
        <v>631</v>
      </c>
      <c r="H168" s="101" t="s">
        <v>159</v>
      </c>
      <c r="I168" s="101" t="s">
        <v>1014</v>
      </c>
      <c r="J168" s="115" t="s">
        <v>1013</v>
      </c>
      <c r="K168" s="98" t="s">
        <v>1091</v>
      </c>
      <c r="L168" s="98" t="s">
        <v>978</v>
      </c>
      <c r="M168" s="101"/>
      <c r="N168" s="101"/>
      <c r="O168" s="101" t="s">
        <v>977</v>
      </c>
      <c r="P168" s="101"/>
      <c r="Q168" s="101"/>
      <c r="R168" s="101"/>
      <c r="S168" s="101"/>
      <c r="T168" s="101"/>
      <c r="U168" s="98">
        <v>0.86599999999999999</v>
      </c>
      <c r="V168" s="101"/>
      <c r="W168" s="101"/>
      <c r="X168" s="101">
        <f t="shared" si="6"/>
        <v>0.86599999999999999</v>
      </c>
      <c r="Y168" s="111">
        <v>8.1300000000000008</v>
      </c>
      <c r="Z168" s="106" t="str">
        <f t="shared" si="7"/>
        <v>S</v>
      </c>
    </row>
    <row r="169" spans="1:26" s="107" customFormat="1">
      <c r="A169" s="101"/>
      <c r="B169" s="123" t="s">
        <v>766</v>
      </c>
      <c r="C169" s="98">
        <v>2013</v>
      </c>
      <c r="D169" s="101"/>
      <c r="E169" s="99" t="s">
        <v>172</v>
      </c>
      <c r="F169" s="98">
        <v>2011</v>
      </c>
      <c r="G169" s="98" t="s">
        <v>631</v>
      </c>
      <c r="H169" s="101" t="s">
        <v>159</v>
      </c>
      <c r="I169" s="101" t="s">
        <v>1014</v>
      </c>
      <c r="J169" s="115" t="s">
        <v>1013</v>
      </c>
      <c r="K169" s="98" t="s">
        <v>1091</v>
      </c>
      <c r="L169" s="98" t="s">
        <v>978</v>
      </c>
      <c r="M169" s="101"/>
      <c r="N169" s="101"/>
      <c r="O169" s="101" t="s">
        <v>977</v>
      </c>
      <c r="P169" s="101"/>
      <c r="Q169" s="101"/>
      <c r="R169" s="101"/>
      <c r="S169" s="101"/>
      <c r="T169" s="101"/>
      <c r="U169" s="98">
        <v>0.86499999999999999</v>
      </c>
      <c r="V169" s="101"/>
      <c r="W169" s="101"/>
      <c r="X169" s="101">
        <f t="shared" si="6"/>
        <v>0.86499999999999999</v>
      </c>
      <c r="Y169" s="111">
        <v>8.65</v>
      </c>
      <c r="Z169" s="106" t="str">
        <f t="shared" si="7"/>
        <v>S</v>
      </c>
    </row>
    <row r="170" spans="1:26" s="107" customFormat="1">
      <c r="A170" s="101"/>
      <c r="B170" s="123" t="s">
        <v>766</v>
      </c>
      <c r="C170" s="98">
        <v>2013</v>
      </c>
      <c r="D170" s="101"/>
      <c r="E170" s="99" t="s">
        <v>172</v>
      </c>
      <c r="F170" s="98">
        <v>2011</v>
      </c>
      <c r="G170" s="98" t="s">
        <v>631</v>
      </c>
      <c r="H170" s="101" t="s">
        <v>159</v>
      </c>
      <c r="I170" s="101" t="s">
        <v>1014</v>
      </c>
      <c r="J170" s="115" t="s">
        <v>1013</v>
      </c>
      <c r="K170" s="98" t="s">
        <v>1091</v>
      </c>
      <c r="L170" s="98" t="s">
        <v>978</v>
      </c>
      <c r="M170" s="101"/>
      <c r="N170" s="101"/>
      <c r="O170" s="101" t="s">
        <v>977</v>
      </c>
      <c r="P170" s="101"/>
      <c r="Q170" s="101"/>
      <c r="R170" s="101"/>
      <c r="S170" s="101"/>
      <c r="T170" s="101"/>
      <c r="U170" s="98">
        <v>0.86399999999999999</v>
      </c>
      <c r="V170" s="101"/>
      <c r="W170" s="101"/>
      <c r="X170" s="101">
        <f t="shared" si="6"/>
        <v>0.86399999999999999</v>
      </c>
      <c r="Y170" s="111">
        <v>8.52</v>
      </c>
      <c r="Z170" s="106" t="str">
        <f t="shared" si="7"/>
        <v>S</v>
      </c>
    </row>
    <row r="171" spans="1:26" s="107" customFormat="1">
      <c r="A171" s="101"/>
      <c r="B171" s="123" t="s">
        <v>766</v>
      </c>
      <c r="C171" s="98">
        <v>2013</v>
      </c>
      <c r="D171" s="101"/>
      <c r="E171" s="99" t="s">
        <v>172</v>
      </c>
      <c r="F171" s="98">
        <v>2011</v>
      </c>
      <c r="G171" s="98" t="s">
        <v>631</v>
      </c>
      <c r="H171" s="101" t="s">
        <v>159</v>
      </c>
      <c r="I171" s="101" t="s">
        <v>1014</v>
      </c>
      <c r="J171" s="115" t="s">
        <v>1013</v>
      </c>
      <c r="K171" s="98" t="s">
        <v>1091</v>
      </c>
      <c r="L171" s="98" t="s">
        <v>978</v>
      </c>
      <c r="M171" s="101"/>
      <c r="N171" s="101"/>
      <c r="O171" s="101" t="s">
        <v>977</v>
      </c>
      <c r="P171" s="101"/>
      <c r="Q171" s="101"/>
      <c r="R171" s="101"/>
      <c r="S171" s="101"/>
      <c r="T171" s="101"/>
      <c r="U171" s="98">
        <v>0.86299999999999999</v>
      </c>
      <c r="V171" s="101"/>
      <c r="W171" s="101"/>
      <c r="X171" s="101">
        <f t="shared" si="6"/>
        <v>0.86299999999999999</v>
      </c>
      <c r="Y171" s="111">
        <v>8.17</v>
      </c>
      <c r="Z171" s="106" t="str">
        <f t="shared" si="7"/>
        <v>S</v>
      </c>
    </row>
    <row r="172" spans="1:26" s="107" customFormat="1">
      <c r="A172" s="101"/>
      <c r="B172" s="123" t="s">
        <v>766</v>
      </c>
      <c r="C172" s="98">
        <v>2013</v>
      </c>
      <c r="D172" s="101"/>
      <c r="E172" s="99" t="s">
        <v>172</v>
      </c>
      <c r="F172" s="98">
        <v>2011</v>
      </c>
      <c r="G172" s="98" t="s">
        <v>631</v>
      </c>
      <c r="H172" s="101" t="s">
        <v>159</v>
      </c>
      <c r="I172" s="101" t="s">
        <v>1014</v>
      </c>
      <c r="J172" s="115" t="s">
        <v>1013</v>
      </c>
      <c r="K172" s="98" t="s">
        <v>1091</v>
      </c>
      <c r="L172" s="98" t="s">
        <v>978</v>
      </c>
      <c r="M172" s="101"/>
      <c r="N172" s="101"/>
      <c r="O172" s="101" t="s">
        <v>977</v>
      </c>
      <c r="P172" s="101"/>
      <c r="Q172" s="101"/>
      <c r="R172" s="101"/>
      <c r="S172" s="101"/>
      <c r="T172" s="101"/>
      <c r="U172" s="98">
        <v>0.86299999999999999</v>
      </c>
      <c r="V172" s="101"/>
      <c r="W172" s="101"/>
      <c r="X172" s="101">
        <f t="shared" si="6"/>
        <v>0.86299999999999999</v>
      </c>
      <c r="Y172" s="111">
        <v>8.14</v>
      </c>
      <c r="Z172" s="106" t="str">
        <f t="shared" si="7"/>
        <v>S</v>
      </c>
    </row>
    <row r="173" spans="1:26" s="107" customFormat="1">
      <c r="A173" s="101"/>
      <c r="B173" s="123" t="s">
        <v>766</v>
      </c>
      <c r="C173" s="98">
        <v>2013</v>
      </c>
      <c r="D173" s="101"/>
      <c r="E173" s="99" t="s">
        <v>172</v>
      </c>
      <c r="F173" s="98">
        <v>2011</v>
      </c>
      <c r="G173" s="98" t="s">
        <v>631</v>
      </c>
      <c r="H173" s="101" t="s">
        <v>159</v>
      </c>
      <c r="I173" s="101" t="s">
        <v>1014</v>
      </c>
      <c r="J173" s="115" t="s">
        <v>1013</v>
      </c>
      <c r="K173" s="98" t="s">
        <v>1091</v>
      </c>
      <c r="L173" s="98" t="s">
        <v>974</v>
      </c>
      <c r="M173" s="101"/>
      <c r="N173" s="101"/>
      <c r="O173" s="101" t="s">
        <v>972</v>
      </c>
      <c r="P173" s="101"/>
      <c r="Q173" s="101"/>
      <c r="R173" s="101"/>
      <c r="S173" s="101"/>
      <c r="T173" s="101"/>
      <c r="U173" s="98">
        <v>0.84899999999999998</v>
      </c>
      <c r="V173" s="101"/>
      <c r="W173" s="101"/>
      <c r="X173" s="101">
        <f t="shared" si="6"/>
        <v>0.84899999999999998</v>
      </c>
      <c r="Y173" s="111">
        <v>12.09</v>
      </c>
      <c r="Z173" s="106" t="str">
        <f t="shared" si="7"/>
        <v>S</v>
      </c>
    </row>
    <row r="174" spans="1:26" s="107" customFormat="1">
      <c r="A174" s="101"/>
      <c r="B174" s="123" t="s">
        <v>766</v>
      </c>
      <c r="C174" s="98">
        <v>2013</v>
      </c>
      <c r="D174" s="101"/>
      <c r="E174" s="99" t="s">
        <v>172</v>
      </c>
      <c r="F174" s="98">
        <v>2011</v>
      </c>
      <c r="G174" s="98" t="s">
        <v>631</v>
      </c>
      <c r="H174" s="101" t="s">
        <v>159</v>
      </c>
      <c r="I174" s="101" t="s">
        <v>1014</v>
      </c>
      <c r="J174" s="115" t="s">
        <v>1013</v>
      </c>
      <c r="K174" s="98" t="s">
        <v>1091</v>
      </c>
      <c r="L174" s="98" t="s">
        <v>974</v>
      </c>
      <c r="M174" s="101"/>
      <c r="N174" s="101"/>
      <c r="O174" s="101" t="s">
        <v>972</v>
      </c>
      <c r="P174" s="101"/>
      <c r="Q174" s="101"/>
      <c r="R174" s="101"/>
      <c r="S174" s="101"/>
      <c r="T174" s="101"/>
      <c r="U174" s="98">
        <v>0.84499999999999997</v>
      </c>
      <c r="V174" s="101"/>
      <c r="W174" s="101"/>
      <c r="X174" s="101">
        <f t="shared" si="6"/>
        <v>0.84499999999999997</v>
      </c>
      <c r="Y174" s="111">
        <v>9.4600000000000009</v>
      </c>
      <c r="Z174" s="106" t="str">
        <f t="shared" si="7"/>
        <v>S</v>
      </c>
    </row>
    <row r="175" spans="1:26" s="107" customFormat="1">
      <c r="A175" s="97">
        <v>63</v>
      </c>
      <c r="B175" s="103" t="s">
        <v>168</v>
      </c>
      <c r="C175" s="103">
        <v>1989</v>
      </c>
      <c r="D175" s="103" t="s">
        <v>169</v>
      </c>
      <c r="E175" s="99" t="s">
        <v>172</v>
      </c>
      <c r="F175" s="98" t="s">
        <v>179</v>
      </c>
      <c r="G175" s="98" t="s">
        <v>153</v>
      </c>
      <c r="H175" s="98" t="s">
        <v>95</v>
      </c>
      <c r="I175" s="98" t="s">
        <v>1014</v>
      </c>
      <c r="J175" s="101" t="s">
        <v>1013</v>
      </c>
      <c r="K175" s="98" t="s">
        <v>1042</v>
      </c>
      <c r="L175" s="98" t="s">
        <v>180</v>
      </c>
      <c r="M175" s="98"/>
      <c r="N175" s="98"/>
      <c r="O175" s="98" t="s">
        <v>155</v>
      </c>
      <c r="P175" s="98"/>
      <c r="Q175" s="98"/>
      <c r="R175" s="98"/>
      <c r="S175" s="98"/>
      <c r="T175" s="98"/>
      <c r="U175" s="98"/>
      <c r="V175" s="98"/>
      <c r="W175" s="98"/>
      <c r="X175" s="101" t="str">
        <f t="shared" si="6"/>
        <v/>
      </c>
      <c r="Y175" s="111">
        <v>2.6</v>
      </c>
      <c r="Z175" s="106" t="str">
        <f t="shared" si="7"/>
        <v/>
      </c>
    </row>
    <row r="176" spans="1:26" s="107" customFormat="1">
      <c r="A176" s="97">
        <v>63</v>
      </c>
      <c r="B176" s="103" t="s">
        <v>168</v>
      </c>
      <c r="C176" s="103">
        <v>1989</v>
      </c>
      <c r="D176" s="103" t="s">
        <v>169</v>
      </c>
      <c r="E176" s="99" t="s">
        <v>172</v>
      </c>
      <c r="F176" s="127">
        <v>32022</v>
      </c>
      <c r="G176" s="98" t="s">
        <v>176</v>
      </c>
      <c r="H176" s="98" t="s">
        <v>95</v>
      </c>
      <c r="I176" s="98" t="s">
        <v>1014</v>
      </c>
      <c r="J176" s="101" t="s">
        <v>1013</v>
      </c>
      <c r="K176" s="98" t="s">
        <v>1042</v>
      </c>
      <c r="L176" s="98" t="s">
        <v>177</v>
      </c>
      <c r="M176" s="98"/>
      <c r="N176" s="98"/>
      <c r="O176" s="98" t="s">
        <v>178</v>
      </c>
      <c r="P176" s="98"/>
      <c r="Q176" s="98"/>
      <c r="R176" s="98"/>
      <c r="S176" s="98"/>
      <c r="T176" s="98"/>
      <c r="U176" s="98"/>
      <c r="V176" s="98"/>
      <c r="W176" s="98"/>
      <c r="X176" s="101" t="str">
        <f t="shared" si="6"/>
        <v/>
      </c>
      <c r="Y176" s="111">
        <v>3</v>
      </c>
      <c r="Z176" s="106" t="str">
        <f t="shared" si="7"/>
        <v/>
      </c>
    </row>
    <row r="177" spans="1:35" s="107" customFormat="1">
      <c r="A177" s="97">
        <v>103</v>
      </c>
      <c r="B177" s="103" t="s">
        <v>311</v>
      </c>
      <c r="C177" s="103">
        <v>1994</v>
      </c>
      <c r="D177" s="103" t="s">
        <v>312</v>
      </c>
      <c r="E177" s="99" t="s">
        <v>20</v>
      </c>
      <c r="F177" s="98">
        <v>1995</v>
      </c>
      <c r="G177" s="98"/>
      <c r="H177" s="98"/>
      <c r="I177" s="98"/>
      <c r="J177" s="98" t="s">
        <v>1013</v>
      </c>
      <c r="K177" s="98" t="s">
        <v>1096</v>
      </c>
      <c r="L177" s="98" t="s">
        <v>315</v>
      </c>
      <c r="M177" s="98" t="s">
        <v>316</v>
      </c>
      <c r="N177" s="98"/>
      <c r="O177" s="98" t="s">
        <v>317</v>
      </c>
      <c r="P177" s="98"/>
      <c r="Q177" s="98"/>
      <c r="R177" s="98"/>
      <c r="S177" s="98"/>
      <c r="T177" s="98"/>
      <c r="U177" s="98"/>
      <c r="V177" s="98"/>
      <c r="W177" s="98"/>
      <c r="X177" s="101" t="str">
        <f t="shared" si="6"/>
        <v/>
      </c>
      <c r="Y177" s="111">
        <v>3</v>
      </c>
      <c r="Z177" s="106" t="str">
        <f t="shared" si="7"/>
        <v/>
      </c>
    </row>
    <row r="178" spans="1:35" s="107" customFormat="1">
      <c r="A178" s="97">
        <v>181</v>
      </c>
      <c r="B178" s="98" t="s">
        <v>766</v>
      </c>
      <c r="C178" s="98">
        <v>2009</v>
      </c>
      <c r="D178" s="112" t="s">
        <v>767</v>
      </c>
      <c r="E178" s="113" t="s">
        <v>49</v>
      </c>
      <c r="F178" s="98"/>
      <c r="G178" s="98" t="s">
        <v>777</v>
      </c>
      <c r="H178" s="115" t="s">
        <v>581</v>
      </c>
      <c r="I178" s="115"/>
      <c r="J178" s="115" t="s">
        <v>1013</v>
      </c>
      <c r="K178" s="115" t="s">
        <v>1096</v>
      </c>
      <c r="L178" s="114" t="s">
        <v>775</v>
      </c>
      <c r="M178" s="114" t="s">
        <v>164</v>
      </c>
      <c r="N178" s="114"/>
      <c r="O178" s="114" t="s">
        <v>868</v>
      </c>
      <c r="P178" s="114"/>
      <c r="Q178" s="114"/>
      <c r="R178" s="98"/>
      <c r="S178" s="98"/>
      <c r="T178" s="98"/>
      <c r="U178" s="129">
        <v>0.94840097300000004</v>
      </c>
      <c r="V178" s="116"/>
      <c r="W178" s="116"/>
      <c r="X178" s="101">
        <f t="shared" si="6"/>
        <v>0.94840097300000004</v>
      </c>
      <c r="Y178" s="117">
        <v>1.620187928</v>
      </c>
      <c r="Z178" s="106" t="str">
        <f t="shared" si="7"/>
        <v>F</v>
      </c>
      <c r="AE178" s="118"/>
      <c r="AF178" s="118"/>
      <c r="AG178" s="118"/>
      <c r="AH178" s="118"/>
      <c r="AI178" s="118"/>
    </row>
    <row r="179" spans="1:35" s="107" customFormat="1">
      <c r="A179" s="97">
        <v>181</v>
      </c>
      <c r="B179" s="98" t="s">
        <v>766</v>
      </c>
      <c r="C179" s="98">
        <v>2009</v>
      </c>
      <c r="D179" s="112" t="s">
        <v>767</v>
      </c>
      <c r="E179" s="113" t="s">
        <v>49</v>
      </c>
      <c r="F179" s="114" t="s">
        <v>814</v>
      </c>
      <c r="G179" s="98" t="s">
        <v>774</v>
      </c>
      <c r="H179" s="115" t="s">
        <v>581</v>
      </c>
      <c r="I179" s="115"/>
      <c r="J179" s="115" t="s">
        <v>1013</v>
      </c>
      <c r="K179" s="115" t="s">
        <v>1096</v>
      </c>
      <c r="L179" s="114" t="s">
        <v>775</v>
      </c>
      <c r="M179" s="114" t="s">
        <v>164</v>
      </c>
      <c r="N179" s="114"/>
      <c r="O179" s="114" t="s">
        <v>815</v>
      </c>
      <c r="P179" s="114"/>
      <c r="Q179" s="114"/>
      <c r="R179" s="98"/>
      <c r="S179" s="98"/>
      <c r="T179" s="98"/>
      <c r="U179" s="129">
        <v>0.93836761499999999</v>
      </c>
      <c r="V179" s="116"/>
      <c r="W179" s="116"/>
      <c r="X179" s="101">
        <f t="shared" si="6"/>
        <v>0.93836761499999999</v>
      </c>
      <c r="Y179" s="117">
        <v>2.4938022219999998</v>
      </c>
      <c r="Z179" s="106" t="str">
        <f t="shared" si="7"/>
        <v>F</v>
      </c>
      <c r="AA179" s="118"/>
      <c r="AB179" s="118"/>
      <c r="AC179" s="118"/>
      <c r="AD179" s="118"/>
      <c r="AE179" s="118"/>
      <c r="AF179" s="118"/>
      <c r="AG179" s="118"/>
      <c r="AH179" s="118"/>
      <c r="AI179" s="118"/>
    </row>
    <row r="180" spans="1:35" s="107" customFormat="1">
      <c r="A180" s="97">
        <v>181</v>
      </c>
      <c r="B180" s="98" t="s">
        <v>766</v>
      </c>
      <c r="C180" s="98">
        <v>2009</v>
      </c>
      <c r="D180" s="112" t="s">
        <v>767</v>
      </c>
      <c r="E180" s="113" t="s">
        <v>49</v>
      </c>
      <c r="F180" s="114" t="s">
        <v>773</v>
      </c>
      <c r="G180" s="98" t="s">
        <v>774</v>
      </c>
      <c r="H180" s="115" t="s">
        <v>581</v>
      </c>
      <c r="I180" s="115"/>
      <c r="J180" s="115" t="s">
        <v>1013</v>
      </c>
      <c r="K180" s="115" t="s">
        <v>1096</v>
      </c>
      <c r="L180" s="114" t="s">
        <v>775</v>
      </c>
      <c r="M180" s="114" t="s">
        <v>164</v>
      </c>
      <c r="N180" s="114"/>
      <c r="O180" s="114" t="s">
        <v>826</v>
      </c>
      <c r="P180" s="114"/>
      <c r="Q180" s="114"/>
      <c r="R180" s="98"/>
      <c r="S180" s="98"/>
      <c r="T180" s="98"/>
      <c r="U180" s="129">
        <v>0.93163082699999999</v>
      </c>
      <c r="V180" s="116"/>
      <c r="W180" s="116"/>
      <c r="X180" s="101">
        <f t="shared" si="6"/>
        <v>0.93163082699999999</v>
      </c>
      <c r="Y180" s="117">
        <v>2.2861858100000001</v>
      </c>
      <c r="Z180" s="106" t="str">
        <f t="shared" si="7"/>
        <v>F</v>
      </c>
      <c r="AE180" s="118"/>
      <c r="AF180" s="118"/>
      <c r="AG180" s="118"/>
      <c r="AH180" s="118"/>
      <c r="AI180" s="118"/>
    </row>
    <row r="181" spans="1:35" s="107" customFormat="1">
      <c r="A181" s="97">
        <v>181</v>
      </c>
      <c r="B181" s="98" t="s">
        <v>766</v>
      </c>
      <c r="C181" s="98">
        <v>2009</v>
      </c>
      <c r="D181" s="112" t="s">
        <v>767</v>
      </c>
      <c r="E181" s="113" t="s">
        <v>49</v>
      </c>
      <c r="F181" s="114" t="s">
        <v>806</v>
      </c>
      <c r="G181" s="98" t="s">
        <v>777</v>
      </c>
      <c r="H181" s="115" t="s">
        <v>581</v>
      </c>
      <c r="I181" s="115"/>
      <c r="J181" s="115" t="s">
        <v>1013</v>
      </c>
      <c r="K181" s="115" t="s">
        <v>1096</v>
      </c>
      <c r="L181" s="114" t="s">
        <v>775</v>
      </c>
      <c r="M181" s="114" t="s">
        <v>164</v>
      </c>
      <c r="N181" s="114"/>
      <c r="O181" s="114" t="s">
        <v>807</v>
      </c>
      <c r="P181" s="114"/>
      <c r="Q181" s="114"/>
      <c r="R181" s="98"/>
      <c r="S181" s="98"/>
      <c r="T181" s="98"/>
      <c r="U181" s="129">
        <v>0.92572142999999996</v>
      </c>
      <c r="V181" s="116"/>
      <c r="W181" s="116"/>
      <c r="X181" s="101">
        <f t="shared" si="6"/>
        <v>0.92572142999999996</v>
      </c>
      <c r="Y181" s="117">
        <v>3.3247728580000002</v>
      </c>
      <c r="Z181" s="106" t="str">
        <f t="shared" si="7"/>
        <v>F</v>
      </c>
      <c r="AE181" s="118"/>
      <c r="AF181" s="118"/>
      <c r="AG181" s="118"/>
      <c r="AH181" s="118"/>
      <c r="AI181" s="118"/>
    </row>
    <row r="182" spans="1:35" s="107" customFormat="1">
      <c r="A182" s="97">
        <v>181</v>
      </c>
      <c r="B182" s="98" t="s">
        <v>766</v>
      </c>
      <c r="C182" s="98">
        <v>2009</v>
      </c>
      <c r="D182" s="112" t="s">
        <v>767</v>
      </c>
      <c r="E182" s="113" t="s">
        <v>49</v>
      </c>
      <c r="F182" s="114" t="s">
        <v>773</v>
      </c>
      <c r="G182" s="98" t="s">
        <v>832</v>
      </c>
      <c r="H182" s="115" t="s">
        <v>581</v>
      </c>
      <c r="I182" s="115"/>
      <c r="J182" s="115" t="s">
        <v>1013</v>
      </c>
      <c r="K182" s="115" t="s">
        <v>1096</v>
      </c>
      <c r="L182" s="114" t="s">
        <v>775</v>
      </c>
      <c r="M182" s="114" t="s">
        <v>164</v>
      </c>
      <c r="N182" s="114"/>
      <c r="O182" s="114" t="s">
        <v>833</v>
      </c>
      <c r="P182" s="114"/>
      <c r="Q182" s="114"/>
      <c r="R182" s="98"/>
      <c r="S182" s="98"/>
      <c r="T182" s="98"/>
      <c r="U182" s="129">
        <v>0.92401837899999995</v>
      </c>
      <c r="V182" s="116"/>
      <c r="W182" s="116"/>
      <c r="X182" s="101">
        <f t="shared" si="6"/>
        <v>0.92401837899999995</v>
      </c>
      <c r="Y182" s="117">
        <v>2.2641516469999998</v>
      </c>
      <c r="Z182" s="106" t="str">
        <f t="shared" si="7"/>
        <v>F</v>
      </c>
      <c r="AE182" s="118"/>
      <c r="AF182" s="118"/>
      <c r="AG182" s="118"/>
      <c r="AH182" s="118"/>
      <c r="AI182" s="118"/>
    </row>
    <row r="183" spans="1:35" s="107" customFormat="1">
      <c r="A183" s="97">
        <v>181</v>
      </c>
      <c r="B183" s="98" t="s">
        <v>766</v>
      </c>
      <c r="C183" s="98">
        <v>2009</v>
      </c>
      <c r="D183" s="112" t="s">
        <v>767</v>
      </c>
      <c r="E183" s="113" t="s">
        <v>49</v>
      </c>
      <c r="F183" s="114" t="s">
        <v>820</v>
      </c>
      <c r="G183" s="98" t="s">
        <v>821</v>
      </c>
      <c r="H183" s="115" t="s">
        <v>581</v>
      </c>
      <c r="I183" s="115"/>
      <c r="J183" s="115" t="s">
        <v>1013</v>
      </c>
      <c r="K183" s="115" t="s">
        <v>1096</v>
      </c>
      <c r="L183" s="114" t="s">
        <v>775</v>
      </c>
      <c r="M183" s="114" t="s">
        <v>164</v>
      </c>
      <c r="N183" s="114"/>
      <c r="O183" s="114" t="s">
        <v>822</v>
      </c>
      <c r="P183" s="114"/>
      <c r="Q183" s="114"/>
      <c r="R183" s="98"/>
      <c r="S183" s="98"/>
      <c r="T183" s="98"/>
      <c r="U183" s="129">
        <v>0.92372757000000005</v>
      </c>
      <c r="V183" s="116"/>
      <c r="W183" s="116"/>
      <c r="X183" s="101">
        <f t="shared" si="6"/>
        <v>0.92372757000000005</v>
      </c>
      <c r="Y183" s="117">
        <v>3.1247266319999998</v>
      </c>
      <c r="Z183" s="106" t="str">
        <f t="shared" si="7"/>
        <v>F</v>
      </c>
    </row>
    <row r="184" spans="1:35" s="107" customFormat="1">
      <c r="A184" s="101"/>
      <c r="B184" s="123" t="s">
        <v>766</v>
      </c>
      <c r="C184" s="98">
        <v>2013</v>
      </c>
      <c r="D184" s="101"/>
      <c r="E184" s="99" t="s">
        <v>172</v>
      </c>
      <c r="F184" s="98">
        <v>2011</v>
      </c>
      <c r="G184" s="98" t="s">
        <v>631</v>
      </c>
      <c r="H184" s="101" t="s">
        <v>159</v>
      </c>
      <c r="I184" s="101" t="s">
        <v>1014</v>
      </c>
      <c r="J184" s="115" t="s">
        <v>1013</v>
      </c>
      <c r="K184" s="115" t="s">
        <v>1096</v>
      </c>
      <c r="L184" s="98" t="s">
        <v>974</v>
      </c>
      <c r="M184" s="101"/>
      <c r="N184" s="101"/>
      <c r="O184" s="101" t="s">
        <v>972</v>
      </c>
      <c r="P184" s="101"/>
      <c r="Q184" s="101"/>
      <c r="R184" s="101"/>
      <c r="S184" s="101"/>
      <c r="T184" s="101"/>
      <c r="U184" s="98">
        <v>0.92300000000000004</v>
      </c>
      <c r="V184" s="101"/>
      <c r="W184" s="101"/>
      <c r="X184" s="101">
        <f t="shared" ref="X184:X215" si="8">IF(R184&lt;&gt;0,IF(R184&gt;1,R184/100,R184),IF(U184&lt;&gt;0,IF(U184&gt;1,U184/100,U184),""))</f>
        <v>0.92300000000000004</v>
      </c>
      <c r="Y184" s="111">
        <v>4.4000000000000004</v>
      </c>
      <c r="Z184" s="106" t="str">
        <f t="shared" ref="Z184:Z215" si="9">IF(X184&lt;&gt;"",IF(X184&lt;0.9,"S","F"),"")</f>
        <v>F</v>
      </c>
      <c r="AA184" s="118"/>
      <c r="AB184" s="118"/>
      <c r="AC184" s="118"/>
      <c r="AD184" s="118"/>
    </row>
    <row r="185" spans="1:35" s="107" customFormat="1">
      <c r="A185" s="97">
        <v>174</v>
      </c>
      <c r="B185" s="98" t="s">
        <v>697</v>
      </c>
      <c r="C185" s="98">
        <v>2009</v>
      </c>
      <c r="D185" s="108" t="s">
        <v>698</v>
      </c>
      <c r="E185" s="99" t="s">
        <v>20</v>
      </c>
      <c r="F185" s="100" t="s">
        <v>701</v>
      </c>
      <c r="G185" s="98" t="s">
        <v>705</v>
      </c>
      <c r="H185" s="98" t="s">
        <v>159</v>
      </c>
      <c r="I185" s="98"/>
      <c r="J185" s="101" t="s">
        <v>1013</v>
      </c>
      <c r="K185" s="98" t="s">
        <v>1096</v>
      </c>
      <c r="L185" s="98" t="s">
        <v>715</v>
      </c>
      <c r="M185" s="109"/>
      <c r="N185" s="109"/>
      <c r="O185" s="98" t="s">
        <v>715</v>
      </c>
      <c r="P185" s="103"/>
      <c r="Q185" s="103"/>
      <c r="R185" s="98"/>
      <c r="S185" s="98"/>
      <c r="T185" s="98"/>
      <c r="U185" s="104">
        <v>0.92</v>
      </c>
      <c r="V185" s="104"/>
      <c r="W185" s="104"/>
      <c r="X185" s="101">
        <f t="shared" si="8"/>
        <v>0.92</v>
      </c>
      <c r="Y185" s="110">
        <v>3.2</v>
      </c>
      <c r="Z185" s="106" t="str">
        <f t="shared" si="9"/>
        <v>F</v>
      </c>
    </row>
    <row r="186" spans="1:35" s="107" customFormat="1">
      <c r="A186" s="97">
        <v>181</v>
      </c>
      <c r="B186" s="98" t="s">
        <v>766</v>
      </c>
      <c r="C186" s="98">
        <v>2009</v>
      </c>
      <c r="D186" s="112" t="s">
        <v>767</v>
      </c>
      <c r="E186" s="113" t="s">
        <v>49</v>
      </c>
      <c r="F186" s="114" t="s">
        <v>806</v>
      </c>
      <c r="G186" s="98" t="s">
        <v>821</v>
      </c>
      <c r="H186" s="115" t="s">
        <v>581</v>
      </c>
      <c r="I186" s="115"/>
      <c r="J186" s="115" t="s">
        <v>1013</v>
      </c>
      <c r="K186" s="115" t="s">
        <v>1096</v>
      </c>
      <c r="L186" s="114" t="s">
        <v>775</v>
      </c>
      <c r="M186" s="114" t="s">
        <v>164</v>
      </c>
      <c r="N186" s="114"/>
      <c r="O186" s="114" t="s">
        <v>823</v>
      </c>
      <c r="P186" s="114"/>
      <c r="Q186" s="114"/>
      <c r="R186" s="98"/>
      <c r="S186" s="98"/>
      <c r="T186" s="98"/>
      <c r="U186" s="129">
        <v>0.91865929800000001</v>
      </c>
      <c r="V186" s="116"/>
      <c r="W186" s="116"/>
      <c r="X186" s="101">
        <f t="shared" si="8"/>
        <v>0.91865929800000001</v>
      </c>
      <c r="Y186" s="117">
        <v>3.5297411639999998</v>
      </c>
      <c r="Z186" s="106" t="str">
        <f t="shared" si="9"/>
        <v>F</v>
      </c>
    </row>
    <row r="187" spans="1:35" s="107" customFormat="1">
      <c r="A187" s="97">
        <v>181</v>
      </c>
      <c r="B187" s="98" t="s">
        <v>766</v>
      </c>
      <c r="C187" s="98">
        <v>2009</v>
      </c>
      <c r="D187" s="112" t="s">
        <v>767</v>
      </c>
      <c r="E187" s="113" t="s">
        <v>49</v>
      </c>
      <c r="F187" s="114" t="s">
        <v>780</v>
      </c>
      <c r="G187" s="98" t="s">
        <v>786</v>
      </c>
      <c r="H187" s="115" t="s">
        <v>159</v>
      </c>
      <c r="I187" s="115"/>
      <c r="J187" s="115" t="s">
        <v>1013</v>
      </c>
      <c r="K187" s="115" t="s">
        <v>1096</v>
      </c>
      <c r="L187" s="114" t="s">
        <v>782</v>
      </c>
      <c r="M187" s="114" t="s">
        <v>164</v>
      </c>
      <c r="N187" s="114"/>
      <c r="O187" s="114" t="s">
        <v>840</v>
      </c>
      <c r="P187" s="114"/>
      <c r="Q187" s="114"/>
      <c r="R187" s="98"/>
      <c r="S187" s="98"/>
      <c r="T187" s="98"/>
      <c r="U187" s="129">
        <v>0.91831407899999995</v>
      </c>
      <c r="V187" s="116"/>
      <c r="W187" s="116"/>
      <c r="X187" s="101">
        <f t="shared" si="8"/>
        <v>0.91831407899999995</v>
      </c>
      <c r="Y187" s="117">
        <v>4.3846507209999999</v>
      </c>
      <c r="Z187" s="106" t="str">
        <f t="shared" si="9"/>
        <v>F</v>
      </c>
    </row>
    <row r="188" spans="1:35" s="107" customFormat="1">
      <c r="A188" s="97">
        <v>181</v>
      </c>
      <c r="B188" s="98" t="s">
        <v>766</v>
      </c>
      <c r="C188" s="98">
        <v>2009</v>
      </c>
      <c r="D188" s="112" t="s">
        <v>767</v>
      </c>
      <c r="E188" s="113" t="s">
        <v>49</v>
      </c>
      <c r="F188" s="114" t="s">
        <v>806</v>
      </c>
      <c r="G188" s="98" t="s">
        <v>777</v>
      </c>
      <c r="H188" s="115" t="s">
        <v>581</v>
      </c>
      <c r="I188" s="115"/>
      <c r="J188" s="115" t="s">
        <v>1013</v>
      </c>
      <c r="K188" s="115" t="s">
        <v>1096</v>
      </c>
      <c r="L188" s="114" t="s">
        <v>775</v>
      </c>
      <c r="M188" s="114" t="s">
        <v>164</v>
      </c>
      <c r="N188" s="114"/>
      <c r="O188" s="114" t="s">
        <v>828</v>
      </c>
      <c r="P188" s="114"/>
      <c r="Q188" s="114"/>
      <c r="R188" s="98"/>
      <c r="S188" s="98"/>
      <c r="T188" s="98"/>
      <c r="U188" s="129">
        <v>0.91809654699999999</v>
      </c>
      <c r="V188" s="116"/>
      <c r="W188" s="116"/>
      <c r="X188" s="101">
        <f t="shared" si="8"/>
        <v>0.91809654699999999</v>
      </c>
      <c r="Y188" s="117">
        <v>3.5255023080000001</v>
      </c>
      <c r="Z188" s="106" t="str">
        <f t="shared" si="9"/>
        <v>F</v>
      </c>
    </row>
    <row r="189" spans="1:35" s="107" customFormat="1">
      <c r="A189" s="101"/>
      <c r="B189" s="123" t="s">
        <v>766</v>
      </c>
      <c r="C189" s="98">
        <v>2013</v>
      </c>
      <c r="D189" s="101"/>
      <c r="E189" s="99" t="s">
        <v>172</v>
      </c>
      <c r="F189" s="98">
        <v>2011</v>
      </c>
      <c r="G189" s="98" t="s">
        <v>631</v>
      </c>
      <c r="H189" s="101" t="s">
        <v>159</v>
      </c>
      <c r="I189" s="101" t="s">
        <v>1014</v>
      </c>
      <c r="J189" s="115" t="s">
        <v>1013</v>
      </c>
      <c r="K189" s="115" t="s">
        <v>1096</v>
      </c>
      <c r="L189" s="98" t="s">
        <v>978</v>
      </c>
      <c r="M189" s="101"/>
      <c r="N189" s="101"/>
      <c r="O189" s="101" t="s">
        <v>977</v>
      </c>
      <c r="P189" s="101"/>
      <c r="Q189" s="101"/>
      <c r="R189" s="101"/>
      <c r="S189" s="101"/>
      <c r="T189" s="101"/>
      <c r="U189" s="98">
        <v>0.91800000000000004</v>
      </c>
      <c r="V189" s="101"/>
      <c r="W189" s="101"/>
      <c r="X189" s="101">
        <f t="shared" si="8"/>
        <v>0.91800000000000004</v>
      </c>
      <c r="Y189" s="111">
        <v>4.95</v>
      </c>
      <c r="Z189" s="106" t="str">
        <f t="shared" si="9"/>
        <v>F</v>
      </c>
      <c r="AA189" s="118"/>
      <c r="AB189" s="118"/>
      <c r="AC189" s="118"/>
      <c r="AD189" s="118"/>
    </row>
    <row r="190" spans="1:35" s="107" customFormat="1">
      <c r="A190" s="97">
        <v>181</v>
      </c>
      <c r="B190" s="98" t="s">
        <v>766</v>
      </c>
      <c r="C190" s="98">
        <v>2009</v>
      </c>
      <c r="D190" s="112" t="s">
        <v>767</v>
      </c>
      <c r="E190" s="112" t="s">
        <v>49</v>
      </c>
      <c r="F190" s="119"/>
      <c r="G190" s="98" t="s">
        <v>777</v>
      </c>
      <c r="H190" s="108" t="s">
        <v>581</v>
      </c>
      <c r="I190" s="108"/>
      <c r="J190" s="115" t="s">
        <v>1013</v>
      </c>
      <c r="K190" s="115" t="s">
        <v>1096</v>
      </c>
      <c r="L190" s="119" t="s">
        <v>775</v>
      </c>
      <c r="M190" s="119" t="s">
        <v>164</v>
      </c>
      <c r="N190" s="119"/>
      <c r="O190" s="119" t="s">
        <v>779</v>
      </c>
      <c r="P190" s="119"/>
      <c r="Q190" s="119"/>
      <c r="R190" s="98"/>
      <c r="S190" s="98"/>
      <c r="T190" s="98"/>
      <c r="U190" s="130">
        <v>0.91637743400000005</v>
      </c>
      <c r="V190" s="120"/>
      <c r="W190" s="120"/>
      <c r="X190" s="101">
        <f t="shared" si="8"/>
        <v>0.91637743400000005</v>
      </c>
      <c r="Y190" s="121">
        <v>3.2215984670000002</v>
      </c>
      <c r="Z190" s="106" t="str">
        <f t="shared" si="9"/>
        <v>F</v>
      </c>
    </row>
    <row r="191" spans="1:35" s="107" customFormat="1">
      <c r="A191" s="97">
        <v>181</v>
      </c>
      <c r="B191" s="98" t="s">
        <v>766</v>
      </c>
      <c r="C191" s="98">
        <v>2009</v>
      </c>
      <c r="D191" s="112" t="s">
        <v>767</v>
      </c>
      <c r="E191" s="113" t="s">
        <v>49</v>
      </c>
      <c r="F191" s="114"/>
      <c r="G191" s="98" t="s">
        <v>777</v>
      </c>
      <c r="H191" s="115" t="s">
        <v>581</v>
      </c>
      <c r="I191" s="115"/>
      <c r="J191" s="115" t="s">
        <v>1013</v>
      </c>
      <c r="K191" s="115" t="s">
        <v>1096</v>
      </c>
      <c r="L191" s="114" t="s">
        <v>775</v>
      </c>
      <c r="M191" s="114" t="s">
        <v>164</v>
      </c>
      <c r="N191" s="114"/>
      <c r="O191" s="114" t="s">
        <v>779</v>
      </c>
      <c r="P191" s="114"/>
      <c r="Q191" s="114"/>
      <c r="R191" s="98"/>
      <c r="S191" s="98"/>
      <c r="T191" s="98"/>
      <c r="U191" s="129">
        <v>0.91637743400000005</v>
      </c>
      <c r="V191" s="116"/>
      <c r="W191" s="116"/>
      <c r="X191" s="101">
        <f t="shared" si="8"/>
        <v>0.91637743400000005</v>
      </c>
      <c r="Y191" s="117">
        <v>3.2215984670000002</v>
      </c>
      <c r="Z191" s="106" t="str">
        <f t="shared" si="9"/>
        <v>F</v>
      </c>
    </row>
    <row r="192" spans="1:35" s="107" customFormat="1">
      <c r="A192" s="97">
        <v>181</v>
      </c>
      <c r="B192" s="98" t="s">
        <v>766</v>
      </c>
      <c r="C192" s="98">
        <v>2009</v>
      </c>
      <c r="D192" s="112" t="s">
        <v>767</v>
      </c>
      <c r="E192" s="113" t="s">
        <v>49</v>
      </c>
      <c r="F192" s="114" t="s">
        <v>780</v>
      </c>
      <c r="G192" s="98" t="s">
        <v>781</v>
      </c>
      <c r="H192" s="115" t="s">
        <v>95</v>
      </c>
      <c r="I192" s="115"/>
      <c r="J192" s="108" t="s">
        <v>1013</v>
      </c>
      <c r="K192" s="108" t="s">
        <v>1096</v>
      </c>
      <c r="L192" s="114" t="s">
        <v>782</v>
      </c>
      <c r="M192" s="114" t="s">
        <v>783</v>
      </c>
      <c r="N192" s="114" t="s">
        <v>784</v>
      </c>
      <c r="O192" s="114" t="s">
        <v>803</v>
      </c>
      <c r="P192" s="114"/>
      <c r="Q192" s="114"/>
      <c r="R192" s="98"/>
      <c r="S192" s="98"/>
      <c r="T192" s="98"/>
      <c r="U192" s="129">
        <v>0.91620070099999995</v>
      </c>
      <c r="V192" s="116"/>
      <c r="W192" s="116"/>
      <c r="X192" s="101">
        <f t="shared" si="8"/>
        <v>0.91620070099999995</v>
      </c>
      <c r="Y192" s="117">
        <v>4.01</v>
      </c>
      <c r="Z192" s="106" t="str">
        <f t="shared" si="9"/>
        <v>F</v>
      </c>
    </row>
    <row r="193" spans="1:30" s="107" customFormat="1">
      <c r="A193" s="101"/>
      <c r="B193" s="123" t="s">
        <v>766</v>
      </c>
      <c r="C193" s="98">
        <v>2013</v>
      </c>
      <c r="D193" s="101"/>
      <c r="E193" s="99" t="s">
        <v>172</v>
      </c>
      <c r="F193" s="98">
        <v>2011</v>
      </c>
      <c r="G193" s="98" t="s">
        <v>631</v>
      </c>
      <c r="H193" s="101" t="s">
        <v>159</v>
      </c>
      <c r="I193" s="101" t="s">
        <v>1014</v>
      </c>
      <c r="J193" s="115" t="s">
        <v>1013</v>
      </c>
      <c r="K193" s="115" t="s">
        <v>1096</v>
      </c>
      <c r="L193" s="98" t="s">
        <v>975</v>
      </c>
      <c r="M193" s="101"/>
      <c r="N193" s="101"/>
      <c r="O193" s="101" t="s">
        <v>976</v>
      </c>
      <c r="P193" s="101"/>
      <c r="Q193" s="101"/>
      <c r="R193" s="101"/>
      <c r="S193" s="101"/>
      <c r="T193" s="101"/>
      <c r="U193" s="98">
        <v>0.91600000000000004</v>
      </c>
      <c r="V193" s="101"/>
      <c r="W193" s="101"/>
      <c r="X193" s="101">
        <f t="shared" si="8"/>
        <v>0.91600000000000004</v>
      </c>
      <c r="Y193" s="111">
        <v>4.5</v>
      </c>
      <c r="Z193" s="106" t="str">
        <f t="shared" si="9"/>
        <v>F</v>
      </c>
      <c r="AA193" s="118"/>
      <c r="AB193" s="118"/>
      <c r="AC193" s="118"/>
      <c r="AD193" s="118"/>
    </row>
    <row r="194" spans="1:30" s="107" customFormat="1">
      <c r="A194" s="97">
        <v>181</v>
      </c>
      <c r="B194" s="98" t="s">
        <v>766</v>
      </c>
      <c r="C194" s="98">
        <v>2009</v>
      </c>
      <c r="D194" s="112" t="s">
        <v>767</v>
      </c>
      <c r="E194" s="113" t="s">
        <v>49</v>
      </c>
      <c r="F194" s="114" t="s">
        <v>829</v>
      </c>
      <c r="G194" s="98" t="s">
        <v>786</v>
      </c>
      <c r="H194" s="115" t="s">
        <v>159</v>
      </c>
      <c r="I194" s="115"/>
      <c r="J194" s="115" t="s">
        <v>1013</v>
      </c>
      <c r="K194" s="115" t="s">
        <v>1096</v>
      </c>
      <c r="L194" s="114" t="s">
        <v>782</v>
      </c>
      <c r="M194" s="114" t="s">
        <v>164</v>
      </c>
      <c r="N194" s="114"/>
      <c r="O194" s="114" t="s">
        <v>830</v>
      </c>
      <c r="P194" s="114"/>
      <c r="Q194" s="114"/>
      <c r="R194" s="98"/>
      <c r="S194" s="98"/>
      <c r="T194" s="98"/>
      <c r="U194" s="129">
        <v>0.91426053399999996</v>
      </c>
      <c r="V194" s="116"/>
      <c r="W194" s="116"/>
      <c r="X194" s="101">
        <f t="shared" si="8"/>
        <v>0.91426053399999996</v>
      </c>
      <c r="Y194" s="117">
        <v>4.0168301120000001</v>
      </c>
      <c r="Z194" s="106" t="str">
        <f t="shared" si="9"/>
        <v>F</v>
      </c>
    </row>
    <row r="195" spans="1:30" s="107" customFormat="1">
      <c r="A195" s="97">
        <v>181</v>
      </c>
      <c r="B195" s="98" t="s">
        <v>766</v>
      </c>
      <c r="C195" s="98">
        <v>2009</v>
      </c>
      <c r="D195" s="112" t="s">
        <v>767</v>
      </c>
      <c r="E195" s="113" t="s">
        <v>49</v>
      </c>
      <c r="F195" s="114" t="s">
        <v>773</v>
      </c>
      <c r="G195" s="98" t="s">
        <v>777</v>
      </c>
      <c r="H195" s="115" t="s">
        <v>581</v>
      </c>
      <c r="I195" s="115"/>
      <c r="J195" s="115" t="s">
        <v>1013</v>
      </c>
      <c r="K195" s="115" t="s">
        <v>1096</v>
      </c>
      <c r="L195" s="114" t="s">
        <v>775</v>
      </c>
      <c r="M195" s="114" t="s">
        <v>164</v>
      </c>
      <c r="N195" s="114"/>
      <c r="O195" s="114" t="s">
        <v>778</v>
      </c>
      <c r="P195" s="114"/>
      <c r="Q195" s="114"/>
      <c r="R195" s="98"/>
      <c r="S195" s="98"/>
      <c r="T195" s="98"/>
      <c r="U195" s="129">
        <v>0.91048192400000005</v>
      </c>
      <c r="V195" s="116"/>
      <c r="W195" s="116"/>
      <c r="X195" s="101">
        <f t="shared" si="8"/>
        <v>0.91048192400000005</v>
      </c>
      <c r="Y195" s="117">
        <v>4.3662318300000003</v>
      </c>
      <c r="Z195" s="106" t="str">
        <f t="shared" si="9"/>
        <v>F</v>
      </c>
    </row>
    <row r="196" spans="1:30" s="107" customFormat="1">
      <c r="A196" s="97">
        <v>181</v>
      </c>
      <c r="B196" s="98" t="s">
        <v>766</v>
      </c>
      <c r="C196" s="98">
        <v>2009</v>
      </c>
      <c r="D196" s="112" t="s">
        <v>767</v>
      </c>
      <c r="E196" s="112" t="s">
        <v>49</v>
      </c>
      <c r="F196" s="119" t="s">
        <v>780</v>
      </c>
      <c r="G196" s="98" t="s">
        <v>786</v>
      </c>
      <c r="H196" s="108" t="s">
        <v>159</v>
      </c>
      <c r="I196" s="108"/>
      <c r="J196" s="115" t="s">
        <v>1013</v>
      </c>
      <c r="K196" s="115" t="s">
        <v>1096</v>
      </c>
      <c r="L196" s="119" t="s">
        <v>782</v>
      </c>
      <c r="M196" s="119" t="s">
        <v>164</v>
      </c>
      <c r="N196" s="119"/>
      <c r="O196" s="119" t="s">
        <v>787</v>
      </c>
      <c r="P196" s="119"/>
      <c r="Q196" s="119"/>
      <c r="R196" s="98"/>
      <c r="S196" s="98"/>
      <c r="T196" s="98"/>
      <c r="U196" s="130">
        <v>0.90993638700000001</v>
      </c>
      <c r="V196" s="120"/>
      <c r="W196" s="120"/>
      <c r="X196" s="101">
        <f t="shared" si="8"/>
        <v>0.90993638700000001</v>
      </c>
      <c r="Y196" s="121">
        <v>4.4355759929999996</v>
      </c>
      <c r="Z196" s="106" t="str">
        <f t="shared" si="9"/>
        <v>F</v>
      </c>
    </row>
    <row r="197" spans="1:30" s="107" customFormat="1">
      <c r="A197" s="97">
        <v>181</v>
      </c>
      <c r="B197" s="98" t="s">
        <v>766</v>
      </c>
      <c r="C197" s="98">
        <v>2009</v>
      </c>
      <c r="D197" s="112" t="s">
        <v>767</v>
      </c>
      <c r="E197" s="112" t="s">
        <v>49</v>
      </c>
      <c r="F197" s="119" t="s">
        <v>780</v>
      </c>
      <c r="G197" s="98" t="s">
        <v>781</v>
      </c>
      <c r="H197" s="108" t="s">
        <v>95</v>
      </c>
      <c r="I197" s="108"/>
      <c r="J197" s="108" t="s">
        <v>1013</v>
      </c>
      <c r="K197" s="108" t="s">
        <v>1096</v>
      </c>
      <c r="L197" s="119" t="s">
        <v>782</v>
      </c>
      <c r="M197" s="119" t="s">
        <v>783</v>
      </c>
      <c r="N197" s="119" t="s">
        <v>784</v>
      </c>
      <c r="O197" s="119" t="s">
        <v>785</v>
      </c>
      <c r="P197" s="119"/>
      <c r="Q197" s="119"/>
      <c r="R197" s="98"/>
      <c r="S197" s="98"/>
      <c r="T197" s="98"/>
      <c r="U197" s="130">
        <v>0.90572357999999997</v>
      </c>
      <c r="V197" s="120"/>
      <c r="W197" s="120"/>
      <c r="X197" s="101">
        <f t="shared" si="8"/>
        <v>0.90572357999999997</v>
      </c>
      <c r="Y197" s="121">
        <v>3.8483435080000001</v>
      </c>
      <c r="Z197" s="106" t="str">
        <f t="shared" si="9"/>
        <v>F</v>
      </c>
    </row>
    <row r="198" spans="1:30" s="107" customFormat="1">
      <c r="A198" s="101"/>
      <c r="B198" s="123" t="s">
        <v>766</v>
      </c>
      <c r="C198" s="98">
        <v>2013</v>
      </c>
      <c r="D198" s="101"/>
      <c r="E198" s="99" t="s">
        <v>172</v>
      </c>
      <c r="F198" s="98">
        <v>2011</v>
      </c>
      <c r="G198" s="98" t="s">
        <v>631</v>
      </c>
      <c r="H198" s="101" t="s">
        <v>159</v>
      </c>
      <c r="I198" s="101" t="s">
        <v>1014</v>
      </c>
      <c r="J198" s="115" t="s">
        <v>1013</v>
      </c>
      <c r="K198" s="115" t="s">
        <v>1096</v>
      </c>
      <c r="L198" s="98" t="s">
        <v>975</v>
      </c>
      <c r="M198" s="101"/>
      <c r="N198" s="101"/>
      <c r="O198" s="101" t="s">
        <v>976</v>
      </c>
      <c r="P198" s="101"/>
      <c r="Q198" s="101"/>
      <c r="R198" s="101"/>
      <c r="S198" s="101"/>
      <c r="T198" s="101"/>
      <c r="U198" s="98">
        <v>0.90400000000000003</v>
      </c>
      <c r="V198" s="101"/>
      <c r="W198" s="101"/>
      <c r="X198" s="101">
        <f t="shared" si="8"/>
        <v>0.90400000000000003</v>
      </c>
      <c r="Y198" s="111">
        <v>6.32</v>
      </c>
      <c r="Z198" s="106" t="str">
        <f t="shared" si="9"/>
        <v>F</v>
      </c>
      <c r="AA198" s="118"/>
      <c r="AB198" s="118"/>
      <c r="AC198" s="118"/>
      <c r="AD198" s="118"/>
    </row>
    <row r="199" spans="1:30" s="107" customFormat="1">
      <c r="A199" s="97">
        <v>181</v>
      </c>
      <c r="B199" s="98" t="s">
        <v>766</v>
      </c>
      <c r="C199" s="98">
        <v>2009</v>
      </c>
      <c r="D199" s="112" t="s">
        <v>767</v>
      </c>
      <c r="E199" s="113" t="s">
        <v>49</v>
      </c>
      <c r="F199" s="114" t="s">
        <v>780</v>
      </c>
      <c r="G199" s="98" t="s">
        <v>786</v>
      </c>
      <c r="H199" s="115" t="s">
        <v>159</v>
      </c>
      <c r="I199" s="115"/>
      <c r="J199" s="115" t="s">
        <v>1013</v>
      </c>
      <c r="K199" s="115" t="s">
        <v>1096</v>
      </c>
      <c r="L199" s="114" t="s">
        <v>782</v>
      </c>
      <c r="M199" s="114" t="s">
        <v>164</v>
      </c>
      <c r="N199" s="114"/>
      <c r="O199" s="114" t="s">
        <v>813</v>
      </c>
      <c r="P199" s="114"/>
      <c r="Q199" s="114"/>
      <c r="R199" s="98"/>
      <c r="S199" s="98"/>
      <c r="T199" s="98"/>
      <c r="U199" s="129">
        <v>0.90398989900000004</v>
      </c>
      <c r="V199" s="116"/>
      <c r="W199" s="116"/>
      <c r="X199" s="101">
        <f t="shared" si="8"/>
        <v>0.90398989900000004</v>
      </c>
      <c r="Y199" s="117">
        <v>3.259641191</v>
      </c>
      <c r="Z199" s="106" t="str">
        <f t="shared" si="9"/>
        <v>F</v>
      </c>
    </row>
    <row r="200" spans="1:30" s="107" customFormat="1">
      <c r="A200" s="97">
        <v>181</v>
      </c>
      <c r="B200" s="98" t="s">
        <v>766</v>
      </c>
      <c r="C200" s="98">
        <v>2009</v>
      </c>
      <c r="D200" s="112" t="s">
        <v>767</v>
      </c>
      <c r="E200" s="113" t="s">
        <v>49</v>
      </c>
      <c r="F200" s="114" t="s">
        <v>780</v>
      </c>
      <c r="G200" s="98" t="s">
        <v>781</v>
      </c>
      <c r="H200" s="115" t="s">
        <v>95</v>
      </c>
      <c r="I200" s="115"/>
      <c r="J200" s="108" t="s">
        <v>1013</v>
      </c>
      <c r="K200" s="108" t="s">
        <v>1096</v>
      </c>
      <c r="L200" s="114" t="s">
        <v>782</v>
      </c>
      <c r="M200" s="114" t="s">
        <v>783</v>
      </c>
      <c r="N200" s="114" t="s">
        <v>784</v>
      </c>
      <c r="O200" s="114" t="s">
        <v>816</v>
      </c>
      <c r="P200" s="114"/>
      <c r="Q200" s="114"/>
      <c r="R200" s="98"/>
      <c r="S200" s="98"/>
      <c r="T200" s="98"/>
      <c r="U200" s="129">
        <v>0.89980392300000001</v>
      </c>
      <c r="V200" s="116"/>
      <c r="W200" s="116"/>
      <c r="X200" s="101">
        <f t="shared" si="8"/>
        <v>0.89980392300000001</v>
      </c>
      <c r="Y200" s="117">
        <v>5.23</v>
      </c>
      <c r="Z200" s="106" t="str">
        <f t="shared" si="9"/>
        <v>S</v>
      </c>
    </row>
    <row r="201" spans="1:30" s="107" customFormat="1">
      <c r="A201" s="97">
        <v>181</v>
      </c>
      <c r="B201" s="98" t="s">
        <v>766</v>
      </c>
      <c r="C201" s="98">
        <v>2009</v>
      </c>
      <c r="D201" s="112" t="s">
        <v>767</v>
      </c>
      <c r="E201" s="113" t="s">
        <v>49</v>
      </c>
      <c r="F201" s="114" t="s">
        <v>773</v>
      </c>
      <c r="G201" s="98" t="s">
        <v>774</v>
      </c>
      <c r="H201" s="115" t="s">
        <v>581</v>
      </c>
      <c r="I201" s="115"/>
      <c r="J201" s="115" t="s">
        <v>1013</v>
      </c>
      <c r="K201" s="115" t="s">
        <v>1096</v>
      </c>
      <c r="L201" s="114" t="s">
        <v>775</v>
      </c>
      <c r="M201" s="114" t="s">
        <v>164</v>
      </c>
      <c r="N201" s="114"/>
      <c r="O201" s="114" t="s">
        <v>776</v>
      </c>
      <c r="P201" s="114"/>
      <c r="Q201" s="114"/>
      <c r="R201" s="98"/>
      <c r="S201" s="98"/>
      <c r="T201" s="98"/>
      <c r="U201" s="129">
        <v>0.88962645699999998</v>
      </c>
      <c r="V201" s="116"/>
      <c r="W201" s="116"/>
      <c r="X201" s="101">
        <f t="shared" si="8"/>
        <v>0.88962645699999998</v>
      </c>
      <c r="Y201" s="117">
        <v>4.8628114289999997</v>
      </c>
      <c r="Z201" s="106" t="str">
        <f t="shared" si="9"/>
        <v>S</v>
      </c>
    </row>
    <row r="202" spans="1:30" s="107" customFormat="1">
      <c r="A202" s="97">
        <v>172</v>
      </c>
      <c r="B202" s="98" t="s">
        <v>585</v>
      </c>
      <c r="C202" s="98">
        <v>2010</v>
      </c>
      <c r="D202" s="98" t="s">
        <v>586</v>
      </c>
      <c r="E202" s="99" t="s">
        <v>589</v>
      </c>
      <c r="F202" s="100">
        <v>40235</v>
      </c>
      <c r="G202" s="98" t="s">
        <v>631</v>
      </c>
      <c r="H202" s="98" t="s">
        <v>159</v>
      </c>
      <c r="I202" s="98"/>
      <c r="J202" s="101" t="s">
        <v>1013</v>
      </c>
      <c r="K202" s="98" t="s">
        <v>1069</v>
      </c>
      <c r="L202" s="98" t="s">
        <v>634</v>
      </c>
      <c r="M202" s="109" t="s">
        <v>635</v>
      </c>
      <c r="N202" s="109"/>
      <c r="O202" s="98"/>
      <c r="P202" s="103"/>
      <c r="Q202" s="103"/>
      <c r="R202" s="98"/>
      <c r="S202" s="98"/>
      <c r="T202" s="98"/>
      <c r="U202" s="104">
        <v>0.95899999999999996</v>
      </c>
      <c r="V202" s="104"/>
      <c r="W202" s="104"/>
      <c r="X202" s="101">
        <f t="shared" si="8"/>
        <v>0.95899999999999996</v>
      </c>
      <c r="Y202" s="105">
        <v>1.208</v>
      </c>
      <c r="Z202" s="106" t="str">
        <f t="shared" si="9"/>
        <v>F</v>
      </c>
    </row>
    <row r="203" spans="1:30" s="107" customFormat="1">
      <c r="A203" s="97">
        <v>118</v>
      </c>
      <c r="B203" s="123" t="s">
        <v>399</v>
      </c>
      <c r="C203" s="98">
        <v>1999</v>
      </c>
      <c r="D203" s="123" t="s">
        <v>400</v>
      </c>
      <c r="E203" s="99" t="s">
        <v>20</v>
      </c>
      <c r="F203" s="98">
        <v>1999</v>
      </c>
      <c r="G203" s="98" t="s">
        <v>326</v>
      </c>
      <c r="H203" s="98" t="s">
        <v>159</v>
      </c>
      <c r="I203" s="98"/>
      <c r="J203" s="101" t="s">
        <v>1013</v>
      </c>
      <c r="K203" s="98" t="s">
        <v>1056</v>
      </c>
      <c r="L203" s="98" t="s">
        <v>406</v>
      </c>
      <c r="M203" s="98"/>
      <c r="N203" s="98"/>
      <c r="O203" s="98">
        <v>4</v>
      </c>
      <c r="P203" s="98"/>
      <c r="Q203" s="98"/>
      <c r="R203" s="98"/>
      <c r="S203" s="98"/>
      <c r="T203" s="98"/>
      <c r="U203" s="98">
        <v>0.98</v>
      </c>
      <c r="V203" s="98"/>
      <c r="W203" s="98"/>
      <c r="X203" s="101">
        <f t="shared" si="8"/>
        <v>0.98</v>
      </c>
      <c r="Y203" s="111">
        <v>1.1970000000000001</v>
      </c>
      <c r="Z203" s="106" t="str">
        <f t="shared" si="9"/>
        <v>F</v>
      </c>
    </row>
    <row r="204" spans="1:30" s="107" customFormat="1">
      <c r="A204" s="97">
        <v>118</v>
      </c>
      <c r="B204" s="123" t="s">
        <v>399</v>
      </c>
      <c r="C204" s="98">
        <v>1999</v>
      </c>
      <c r="D204" s="123" t="s">
        <v>400</v>
      </c>
      <c r="E204" s="99" t="s">
        <v>20</v>
      </c>
      <c r="F204" s="98">
        <v>1999</v>
      </c>
      <c r="G204" s="98" t="s">
        <v>326</v>
      </c>
      <c r="H204" s="98" t="s">
        <v>159</v>
      </c>
      <c r="I204" s="98"/>
      <c r="J204" s="124" t="s">
        <v>1013</v>
      </c>
      <c r="K204" s="103" t="s">
        <v>1056</v>
      </c>
      <c r="L204" s="98" t="s">
        <v>403</v>
      </c>
      <c r="M204" s="98"/>
      <c r="N204" s="98"/>
      <c r="O204" s="98">
        <v>1</v>
      </c>
      <c r="P204" s="98"/>
      <c r="Q204" s="98"/>
      <c r="R204" s="98"/>
      <c r="S204" s="98"/>
      <c r="T204" s="98"/>
      <c r="U204" s="98">
        <v>0.97</v>
      </c>
      <c r="V204" s="98"/>
      <c r="W204" s="98"/>
      <c r="X204" s="101">
        <f t="shared" si="8"/>
        <v>0.97</v>
      </c>
      <c r="Y204" s="111">
        <v>1.9390000000000001</v>
      </c>
      <c r="Z204" s="106" t="str">
        <f t="shared" si="9"/>
        <v>F</v>
      </c>
    </row>
    <row r="205" spans="1:30" s="107" customFormat="1">
      <c r="A205" s="97">
        <v>173</v>
      </c>
      <c r="B205" s="98" t="s">
        <v>585</v>
      </c>
      <c r="C205" s="98">
        <v>2011</v>
      </c>
      <c r="D205" s="108" t="s">
        <v>636</v>
      </c>
      <c r="E205" s="99" t="s">
        <v>638</v>
      </c>
      <c r="F205" s="100" t="s">
        <v>656</v>
      </c>
      <c r="G205" s="98" t="s">
        <v>657</v>
      </c>
      <c r="H205" s="98" t="s">
        <v>146</v>
      </c>
      <c r="I205" s="98"/>
      <c r="J205" s="101" t="s">
        <v>1013</v>
      </c>
      <c r="K205" s="98" t="s">
        <v>1082</v>
      </c>
      <c r="L205" s="98" t="s">
        <v>658</v>
      </c>
      <c r="M205" s="109"/>
      <c r="N205" s="109"/>
      <c r="O205" s="98" t="s">
        <v>659</v>
      </c>
      <c r="P205" s="103"/>
      <c r="Q205" s="103"/>
      <c r="R205" s="98"/>
      <c r="S205" s="98"/>
      <c r="T205" s="98"/>
      <c r="U205" s="104">
        <v>0.91300000000000003</v>
      </c>
      <c r="V205" s="104"/>
      <c r="W205" s="104"/>
      <c r="X205" s="101">
        <f t="shared" si="8"/>
        <v>0.91300000000000003</v>
      </c>
      <c r="Y205" s="122">
        <v>5.51</v>
      </c>
      <c r="Z205" s="106" t="str">
        <f t="shared" si="9"/>
        <v>F</v>
      </c>
    </row>
    <row r="206" spans="1:30" s="107" customFormat="1">
      <c r="A206" s="97">
        <v>173</v>
      </c>
      <c r="B206" s="98" t="s">
        <v>585</v>
      </c>
      <c r="C206" s="98">
        <v>2011</v>
      </c>
      <c r="D206" s="108" t="s">
        <v>636</v>
      </c>
      <c r="E206" s="99" t="s">
        <v>638</v>
      </c>
      <c r="F206" s="100" t="s">
        <v>656</v>
      </c>
      <c r="G206" s="98" t="s">
        <v>657</v>
      </c>
      <c r="H206" s="98" t="s">
        <v>146</v>
      </c>
      <c r="I206" s="98"/>
      <c r="J206" s="101" t="s">
        <v>1013</v>
      </c>
      <c r="K206" s="98" t="s">
        <v>1082</v>
      </c>
      <c r="L206" s="98" t="s">
        <v>660</v>
      </c>
      <c r="M206" s="109"/>
      <c r="N206" s="109"/>
      <c r="O206" s="98" t="s">
        <v>661</v>
      </c>
      <c r="P206" s="103"/>
      <c r="Q206" s="103"/>
      <c r="R206" s="98"/>
      <c r="S206" s="98"/>
      <c r="T206" s="98"/>
      <c r="U206" s="104">
        <v>0.88500000000000001</v>
      </c>
      <c r="V206" s="104"/>
      <c r="W206" s="104"/>
      <c r="X206" s="101">
        <f t="shared" si="8"/>
        <v>0.88500000000000001</v>
      </c>
      <c r="Y206" s="122">
        <v>7.94</v>
      </c>
      <c r="Z206" s="106" t="str">
        <f t="shared" si="9"/>
        <v>S</v>
      </c>
    </row>
    <row r="207" spans="1:30" s="107" customFormat="1">
      <c r="A207" s="97">
        <v>121</v>
      </c>
      <c r="B207" s="103" t="s">
        <v>427</v>
      </c>
      <c r="C207" s="103">
        <v>2003</v>
      </c>
      <c r="D207" s="103" t="s">
        <v>428</v>
      </c>
      <c r="E207" s="99" t="s">
        <v>430</v>
      </c>
      <c r="F207" s="98">
        <v>2002</v>
      </c>
      <c r="G207" s="98" t="s">
        <v>461</v>
      </c>
      <c r="H207" s="98" t="s">
        <v>159</v>
      </c>
      <c r="I207" s="98"/>
      <c r="J207" s="98" t="s">
        <v>1013</v>
      </c>
      <c r="K207" s="98" t="s">
        <v>1138</v>
      </c>
      <c r="L207" s="98" t="s">
        <v>462</v>
      </c>
      <c r="M207" s="98" t="s">
        <v>463</v>
      </c>
      <c r="N207" s="98" t="s">
        <v>464</v>
      </c>
      <c r="O207" s="98" t="s">
        <v>469</v>
      </c>
      <c r="P207" s="98"/>
      <c r="Q207" s="98"/>
      <c r="R207" s="98"/>
      <c r="S207" s="98"/>
      <c r="T207" s="98"/>
      <c r="U207" s="98"/>
      <c r="V207" s="98"/>
      <c r="W207" s="98"/>
      <c r="X207" s="101" t="str">
        <f t="shared" si="8"/>
        <v/>
      </c>
      <c r="Y207" s="111">
        <v>6.2</v>
      </c>
      <c r="Z207" s="106" t="str">
        <f t="shared" si="9"/>
        <v/>
      </c>
    </row>
    <row r="208" spans="1:30" s="107" customFormat="1">
      <c r="A208" s="97">
        <v>121</v>
      </c>
      <c r="B208" s="103" t="s">
        <v>427</v>
      </c>
      <c r="C208" s="103">
        <v>2003</v>
      </c>
      <c r="D208" s="103" t="s">
        <v>428</v>
      </c>
      <c r="E208" s="99" t="s">
        <v>430</v>
      </c>
      <c r="F208" s="98">
        <v>2002</v>
      </c>
      <c r="G208" s="98" t="s">
        <v>461</v>
      </c>
      <c r="H208" s="98" t="s">
        <v>159</v>
      </c>
      <c r="I208" s="98"/>
      <c r="J208" s="98" t="s">
        <v>1013</v>
      </c>
      <c r="K208" s="98" t="s">
        <v>1138</v>
      </c>
      <c r="L208" s="98" t="s">
        <v>462</v>
      </c>
      <c r="M208" s="98" t="s">
        <v>463</v>
      </c>
      <c r="N208" s="98" t="s">
        <v>464</v>
      </c>
      <c r="O208" s="98" t="s">
        <v>465</v>
      </c>
      <c r="P208" s="98"/>
      <c r="Q208" s="98"/>
      <c r="R208" s="98"/>
      <c r="S208" s="98"/>
      <c r="T208" s="98"/>
      <c r="U208" s="98"/>
      <c r="V208" s="98"/>
      <c r="W208" s="98"/>
      <c r="X208" s="101" t="str">
        <f t="shared" si="8"/>
        <v/>
      </c>
      <c r="Y208" s="111">
        <v>2.4</v>
      </c>
      <c r="Z208" s="106" t="str">
        <f t="shared" si="9"/>
        <v/>
      </c>
    </row>
    <row r="209" spans="1:35" s="107" customFormat="1">
      <c r="A209" s="97">
        <v>101</v>
      </c>
      <c r="B209" s="123" t="s">
        <v>298</v>
      </c>
      <c r="C209" s="98">
        <v>1994</v>
      </c>
      <c r="D209" s="123" t="s">
        <v>299</v>
      </c>
      <c r="E209" s="99" t="s">
        <v>172</v>
      </c>
      <c r="F209" s="98">
        <v>1994</v>
      </c>
      <c r="G209" s="98" t="s">
        <v>301</v>
      </c>
      <c r="H209" s="98" t="s">
        <v>302</v>
      </c>
      <c r="I209" s="98" t="s">
        <v>1014</v>
      </c>
      <c r="J209" s="98" t="s">
        <v>1013</v>
      </c>
      <c r="K209" s="98"/>
      <c r="L209" s="98" t="s">
        <v>303</v>
      </c>
      <c r="M209" s="98"/>
      <c r="N209" s="98"/>
      <c r="O209" s="98" t="s">
        <v>310</v>
      </c>
      <c r="P209" s="98"/>
      <c r="Q209" s="98"/>
      <c r="R209" s="98"/>
      <c r="S209" s="98"/>
      <c r="T209" s="98"/>
      <c r="U209" s="98">
        <v>0.97</v>
      </c>
      <c r="V209" s="98"/>
      <c r="W209" s="98"/>
      <c r="X209" s="101">
        <f t="shared" si="8"/>
        <v>0.97</v>
      </c>
      <c r="Y209" s="111">
        <v>1.8</v>
      </c>
      <c r="Z209" s="106" t="str">
        <f t="shared" si="9"/>
        <v>F</v>
      </c>
    </row>
    <row r="210" spans="1:35" s="107" customFormat="1">
      <c r="A210" s="97">
        <v>101</v>
      </c>
      <c r="B210" s="123" t="s">
        <v>298</v>
      </c>
      <c r="C210" s="98">
        <v>1994</v>
      </c>
      <c r="D210" s="123" t="s">
        <v>299</v>
      </c>
      <c r="E210" s="99" t="s">
        <v>172</v>
      </c>
      <c r="F210" s="98">
        <v>1994</v>
      </c>
      <c r="G210" s="98" t="s">
        <v>301</v>
      </c>
      <c r="H210" s="98" t="s">
        <v>302</v>
      </c>
      <c r="I210" s="98" t="s">
        <v>1014</v>
      </c>
      <c r="J210" s="98" t="s">
        <v>1013</v>
      </c>
      <c r="K210" s="98"/>
      <c r="L210" s="98" t="s">
        <v>303</v>
      </c>
      <c r="M210" s="98"/>
      <c r="N210" s="98"/>
      <c r="O210" s="98" t="s">
        <v>307</v>
      </c>
      <c r="P210" s="98"/>
      <c r="Q210" s="98"/>
      <c r="R210" s="98"/>
      <c r="S210" s="98"/>
      <c r="T210" s="98"/>
      <c r="U210" s="98">
        <v>0.96</v>
      </c>
      <c r="V210" s="98"/>
      <c r="W210" s="98"/>
      <c r="X210" s="101">
        <f t="shared" si="8"/>
        <v>0.96</v>
      </c>
      <c r="Y210" s="111">
        <v>4.3</v>
      </c>
      <c r="Z210" s="106" t="str">
        <f t="shared" si="9"/>
        <v>F</v>
      </c>
    </row>
    <row r="211" spans="1:35" s="107" customFormat="1">
      <c r="A211" s="97">
        <v>101</v>
      </c>
      <c r="B211" s="123" t="s">
        <v>298</v>
      </c>
      <c r="C211" s="98">
        <v>1994</v>
      </c>
      <c r="D211" s="123" t="s">
        <v>299</v>
      </c>
      <c r="E211" s="99" t="s">
        <v>172</v>
      </c>
      <c r="F211" s="98">
        <v>1994</v>
      </c>
      <c r="G211" s="98" t="s">
        <v>301</v>
      </c>
      <c r="H211" s="98" t="s">
        <v>302</v>
      </c>
      <c r="I211" s="98" t="s">
        <v>1014</v>
      </c>
      <c r="J211" s="98" t="s">
        <v>1013</v>
      </c>
      <c r="K211" s="98"/>
      <c r="L211" s="98" t="s">
        <v>303</v>
      </c>
      <c r="M211" s="98"/>
      <c r="N211" s="98"/>
      <c r="O211" s="98" t="s">
        <v>305</v>
      </c>
      <c r="P211" s="98"/>
      <c r="Q211" s="98"/>
      <c r="R211" s="98"/>
      <c r="S211" s="98"/>
      <c r="T211" s="98"/>
      <c r="U211" s="98">
        <v>0.95</v>
      </c>
      <c r="V211" s="98"/>
      <c r="W211" s="98"/>
      <c r="X211" s="101">
        <f t="shared" si="8"/>
        <v>0.95</v>
      </c>
      <c r="Y211" s="111">
        <v>2.6</v>
      </c>
      <c r="Z211" s="106" t="str">
        <f t="shared" si="9"/>
        <v>F</v>
      </c>
      <c r="AE211" s="118"/>
      <c r="AF211" s="118"/>
      <c r="AG211" s="118"/>
      <c r="AH211" s="118"/>
      <c r="AI211" s="118"/>
    </row>
    <row r="212" spans="1:35" s="107" customFormat="1">
      <c r="A212" s="97">
        <v>101</v>
      </c>
      <c r="B212" s="123" t="s">
        <v>298</v>
      </c>
      <c r="C212" s="98">
        <v>1994</v>
      </c>
      <c r="D212" s="123" t="s">
        <v>299</v>
      </c>
      <c r="E212" s="99" t="s">
        <v>172</v>
      </c>
      <c r="F212" s="98">
        <v>1994</v>
      </c>
      <c r="G212" s="98" t="s">
        <v>301</v>
      </c>
      <c r="H212" s="98" t="s">
        <v>302</v>
      </c>
      <c r="I212" s="98" t="s">
        <v>1014</v>
      </c>
      <c r="J212" s="98" t="s">
        <v>1013</v>
      </c>
      <c r="K212" s="98"/>
      <c r="L212" s="98" t="s">
        <v>303</v>
      </c>
      <c r="M212" s="98"/>
      <c r="N212" s="98"/>
      <c r="O212" s="98" t="s">
        <v>306</v>
      </c>
      <c r="P212" s="98"/>
      <c r="Q212" s="98"/>
      <c r="R212" s="98"/>
      <c r="S212" s="98"/>
      <c r="T212" s="98"/>
      <c r="U212" s="98">
        <v>0.94</v>
      </c>
      <c r="V212" s="98"/>
      <c r="W212" s="98"/>
      <c r="X212" s="101">
        <f t="shared" si="8"/>
        <v>0.94</v>
      </c>
      <c r="Y212" s="111">
        <v>2.6</v>
      </c>
      <c r="Z212" s="106" t="str">
        <f t="shared" si="9"/>
        <v>F</v>
      </c>
      <c r="AE212" s="118"/>
      <c r="AF212" s="118"/>
      <c r="AG212" s="118"/>
      <c r="AH212" s="118"/>
      <c r="AI212" s="118"/>
    </row>
    <row r="213" spans="1:35" s="107" customFormat="1">
      <c r="A213" s="97">
        <v>101</v>
      </c>
      <c r="B213" s="123" t="s">
        <v>298</v>
      </c>
      <c r="C213" s="98">
        <v>1994</v>
      </c>
      <c r="D213" s="123" t="s">
        <v>299</v>
      </c>
      <c r="E213" s="99" t="s">
        <v>172</v>
      </c>
      <c r="F213" s="98">
        <v>1994</v>
      </c>
      <c r="G213" s="98" t="s">
        <v>301</v>
      </c>
      <c r="H213" s="98" t="s">
        <v>302</v>
      </c>
      <c r="I213" s="98" t="s">
        <v>1014</v>
      </c>
      <c r="J213" s="98" t="s">
        <v>1013</v>
      </c>
      <c r="K213" s="98"/>
      <c r="L213" s="98" t="s">
        <v>303</v>
      </c>
      <c r="M213" s="98"/>
      <c r="N213" s="98"/>
      <c r="O213" s="98" t="s">
        <v>308</v>
      </c>
      <c r="P213" s="98"/>
      <c r="Q213" s="98"/>
      <c r="R213" s="98"/>
      <c r="S213" s="98"/>
      <c r="T213" s="98"/>
      <c r="U213" s="98">
        <v>0.94</v>
      </c>
      <c r="V213" s="98"/>
      <c r="W213" s="98"/>
      <c r="X213" s="101">
        <f t="shared" si="8"/>
        <v>0.94</v>
      </c>
      <c r="Y213" s="111">
        <v>4.3</v>
      </c>
      <c r="Z213" s="106" t="str">
        <f t="shared" si="9"/>
        <v>F</v>
      </c>
      <c r="AE213" s="118"/>
      <c r="AF213" s="118"/>
      <c r="AG213" s="118"/>
      <c r="AH213" s="118"/>
      <c r="AI213" s="118"/>
    </row>
    <row r="214" spans="1:35" s="107" customFormat="1">
      <c r="A214" s="97">
        <v>101</v>
      </c>
      <c r="B214" s="123" t="s">
        <v>298</v>
      </c>
      <c r="C214" s="98">
        <v>1994</v>
      </c>
      <c r="D214" s="123" t="s">
        <v>299</v>
      </c>
      <c r="E214" s="99" t="s">
        <v>172</v>
      </c>
      <c r="F214" s="98">
        <v>1994</v>
      </c>
      <c r="G214" s="98" t="s">
        <v>301</v>
      </c>
      <c r="H214" s="98" t="s">
        <v>302</v>
      </c>
      <c r="I214" s="98" t="s">
        <v>1014</v>
      </c>
      <c r="J214" s="98" t="s">
        <v>1013</v>
      </c>
      <c r="K214" s="98"/>
      <c r="L214" s="98" t="s">
        <v>303</v>
      </c>
      <c r="M214" s="98"/>
      <c r="N214" s="98"/>
      <c r="O214" s="98" t="s">
        <v>304</v>
      </c>
      <c r="P214" s="98"/>
      <c r="Q214" s="98"/>
      <c r="R214" s="98"/>
      <c r="S214" s="98"/>
      <c r="T214" s="98"/>
      <c r="U214" s="98">
        <v>0.94</v>
      </c>
      <c r="V214" s="98"/>
      <c r="W214" s="98"/>
      <c r="X214" s="101">
        <f t="shared" si="8"/>
        <v>0.94</v>
      </c>
      <c r="Y214" s="111">
        <v>4.5</v>
      </c>
      <c r="Z214" s="106" t="str">
        <f t="shared" si="9"/>
        <v>F</v>
      </c>
      <c r="AE214" s="118"/>
      <c r="AF214" s="118"/>
      <c r="AG214" s="118"/>
      <c r="AH214" s="118"/>
      <c r="AI214" s="118"/>
    </row>
    <row r="215" spans="1:35" s="107" customFormat="1">
      <c r="A215" s="97">
        <v>101</v>
      </c>
      <c r="B215" s="123" t="s">
        <v>298</v>
      </c>
      <c r="C215" s="98">
        <v>1994</v>
      </c>
      <c r="D215" s="123" t="s">
        <v>299</v>
      </c>
      <c r="E215" s="99" t="s">
        <v>172</v>
      </c>
      <c r="F215" s="98">
        <v>1994</v>
      </c>
      <c r="G215" s="98" t="s">
        <v>301</v>
      </c>
      <c r="H215" s="98" t="s">
        <v>302</v>
      </c>
      <c r="I215" s="98" t="s">
        <v>1014</v>
      </c>
      <c r="J215" s="98" t="s">
        <v>1013</v>
      </c>
      <c r="K215" s="98"/>
      <c r="L215" s="98" t="s">
        <v>303</v>
      </c>
      <c r="M215" s="98"/>
      <c r="N215" s="98"/>
      <c r="O215" s="98" t="s">
        <v>309</v>
      </c>
      <c r="P215" s="98"/>
      <c r="Q215" s="98"/>
      <c r="R215" s="98"/>
      <c r="S215" s="98"/>
      <c r="T215" s="98"/>
      <c r="U215" s="98">
        <v>0.86</v>
      </c>
      <c r="V215" s="98"/>
      <c r="W215" s="98"/>
      <c r="X215" s="101">
        <f t="shared" si="8"/>
        <v>0.86</v>
      </c>
      <c r="Y215" s="111">
        <v>8.4</v>
      </c>
      <c r="Z215" s="106" t="str">
        <f t="shared" si="9"/>
        <v>S</v>
      </c>
    </row>
    <row r="216" spans="1:35" s="147" customFormat="1">
      <c r="A216" s="140">
        <v>35</v>
      </c>
      <c r="B216" s="141" t="s">
        <v>45</v>
      </c>
      <c r="C216" s="141">
        <v>1982</v>
      </c>
      <c r="D216" s="141" t="s">
        <v>46</v>
      </c>
      <c r="E216" s="142" t="s">
        <v>49</v>
      </c>
      <c r="F216" s="143" t="s">
        <v>50</v>
      </c>
      <c r="G216" s="143" t="s">
        <v>51</v>
      </c>
      <c r="H216" s="143" t="s">
        <v>23</v>
      </c>
      <c r="I216" s="143"/>
      <c r="J216" s="143" t="s">
        <v>1013</v>
      </c>
      <c r="K216" s="143" t="s">
        <v>1134</v>
      </c>
      <c r="L216" s="143" t="s">
        <v>52</v>
      </c>
      <c r="M216" s="143"/>
      <c r="N216" s="143"/>
      <c r="O216" s="143" t="s">
        <v>53</v>
      </c>
      <c r="P216" s="143"/>
      <c r="Q216" s="143"/>
      <c r="R216" s="143"/>
      <c r="S216" s="143"/>
      <c r="T216" s="143"/>
      <c r="U216" s="143"/>
      <c r="V216" s="143"/>
      <c r="W216" s="143"/>
      <c r="X216" s="144" t="str">
        <f t="shared" ref="X216:X303" si="10">IF(R216&lt;&gt;0,IF(R216&gt;1,R216/100,R216),IF(U216&lt;&gt;0,IF(U216&gt;1,U216/100,U216),""))</f>
        <v/>
      </c>
      <c r="Y216" s="145">
        <v>3.5</v>
      </c>
      <c r="Z216" s="146" t="s">
        <v>1192</v>
      </c>
      <c r="AA216" s="247"/>
      <c r="AB216" s="247" t="s">
        <v>1179</v>
      </c>
      <c r="AC216" s="247" t="s">
        <v>1182</v>
      </c>
      <c r="AD216" s="247" t="s">
        <v>1183</v>
      </c>
      <c r="AE216" s="247" t="s">
        <v>1184</v>
      </c>
      <c r="AF216" s="247" t="s">
        <v>1190</v>
      </c>
      <c r="AG216" s="247" t="s">
        <v>1186</v>
      </c>
    </row>
    <row r="217" spans="1:35" s="147" customFormat="1">
      <c r="A217" s="140">
        <v>35</v>
      </c>
      <c r="B217" s="141" t="s">
        <v>45</v>
      </c>
      <c r="C217" s="141">
        <v>1982</v>
      </c>
      <c r="D217" s="141" t="s">
        <v>46</v>
      </c>
      <c r="E217" s="142" t="s">
        <v>49</v>
      </c>
      <c r="F217" s="143" t="s">
        <v>50</v>
      </c>
      <c r="G217" s="143" t="s">
        <v>51</v>
      </c>
      <c r="H217" s="143" t="s">
        <v>23</v>
      </c>
      <c r="I217" s="143"/>
      <c r="J217" s="143" t="s">
        <v>1013</v>
      </c>
      <c r="K217" s="143" t="s">
        <v>1134</v>
      </c>
      <c r="L217" s="143" t="s">
        <v>52</v>
      </c>
      <c r="M217" s="143"/>
      <c r="N217" s="143"/>
      <c r="O217" s="143" t="s">
        <v>54</v>
      </c>
      <c r="P217" s="143"/>
      <c r="Q217" s="143"/>
      <c r="R217" s="143"/>
      <c r="S217" s="143"/>
      <c r="T217" s="143"/>
      <c r="U217" s="143"/>
      <c r="V217" s="143"/>
      <c r="W217" s="143"/>
      <c r="X217" s="144" t="str">
        <f t="shared" si="10"/>
        <v/>
      </c>
      <c r="Y217" s="145">
        <v>2.5</v>
      </c>
      <c r="Z217" s="146" t="s">
        <v>1192</v>
      </c>
      <c r="AA217" s="247" t="s">
        <v>1390</v>
      </c>
      <c r="AB217" s="248">
        <f>AVERAGE($Y$216:$Y$255)</f>
        <v>7.0974999999999993</v>
      </c>
      <c r="AC217" s="248">
        <f>MEDIAN($Y$216:$Y$255)</f>
        <v>7.6999999999999993</v>
      </c>
      <c r="AD217" s="248">
        <f>MAX($Y$216:$Y$255)</f>
        <v>19.399999999999999</v>
      </c>
      <c r="AE217" s="248">
        <f>MIN($Y$216:$Y$255)</f>
        <v>1.4</v>
      </c>
      <c r="AF217" s="248">
        <f>STDEV($Y$216:$Y$255)</f>
        <v>3.7426500620789365</v>
      </c>
      <c r="AG217" s="247">
        <f>COUNT($Y$216:$Y$255)</f>
        <v>40</v>
      </c>
      <c r="AH217" s="147" t="s">
        <v>1394</v>
      </c>
    </row>
    <row r="218" spans="1:35" s="147" customFormat="1">
      <c r="A218" s="140">
        <v>35</v>
      </c>
      <c r="B218" s="141" t="s">
        <v>45</v>
      </c>
      <c r="C218" s="141">
        <v>1982</v>
      </c>
      <c r="D218" s="141" t="s">
        <v>46</v>
      </c>
      <c r="E218" s="142" t="s">
        <v>49</v>
      </c>
      <c r="F218" s="143" t="s">
        <v>50</v>
      </c>
      <c r="G218" s="143" t="s">
        <v>51</v>
      </c>
      <c r="H218" s="143" t="s">
        <v>23</v>
      </c>
      <c r="I218" s="143"/>
      <c r="J218" s="143" t="s">
        <v>1013</v>
      </c>
      <c r="K218" s="143" t="s">
        <v>1134</v>
      </c>
      <c r="L218" s="143" t="s">
        <v>52</v>
      </c>
      <c r="M218" s="143"/>
      <c r="N218" s="143"/>
      <c r="O218" s="143" t="s">
        <v>55</v>
      </c>
      <c r="P218" s="143"/>
      <c r="Q218" s="143"/>
      <c r="R218" s="143"/>
      <c r="S218" s="143"/>
      <c r="T218" s="143"/>
      <c r="U218" s="143"/>
      <c r="V218" s="143"/>
      <c r="W218" s="143"/>
      <c r="X218" s="144" t="str">
        <f t="shared" si="10"/>
        <v/>
      </c>
      <c r="Y218" s="145">
        <v>1.4</v>
      </c>
      <c r="Z218" s="146" t="s">
        <v>1192</v>
      </c>
      <c r="AA218" s="247" t="s">
        <v>1325</v>
      </c>
      <c r="AB218" s="248">
        <f>AVERAGE($Y$216:$Y$224)</f>
        <v>2.588888888888889</v>
      </c>
      <c r="AC218" s="248">
        <f>MEDIAN($Y$216:$Y$224)</f>
        <v>2.6</v>
      </c>
      <c r="AD218" s="248">
        <f>MAX($Y$216:$Y$224)</f>
        <v>3.5</v>
      </c>
      <c r="AE218" s="248">
        <f>MIN($Y$216:$Y$224)</f>
        <v>1.4</v>
      </c>
      <c r="AF218" s="248">
        <f>STDEV($Y$216:$Y$224)</f>
        <v>0.63922696369217014</v>
      </c>
      <c r="AG218" s="249">
        <f>COUNT($Y$216:$Y$224)</f>
        <v>9</v>
      </c>
    </row>
    <row r="219" spans="1:35" s="147" customFormat="1">
      <c r="A219" s="140">
        <v>35</v>
      </c>
      <c r="B219" s="141" t="s">
        <v>45</v>
      </c>
      <c r="C219" s="141">
        <v>1982</v>
      </c>
      <c r="D219" s="141" t="s">
        <v>46</v>
      </c>
      <c r="E219" s="142" t="s">
        <v>49</v>
      </c>
      <c r="F219" s="143" t="s">
        <v>50</v>
      </c>
      <c r="G219" s="143" t="s">
        <v>51</v>
      </c>
      <c r="H219" s="143" t="s">
        <v>23</v>
      </c>
      <c r="I219" s="143"/>
      <c r="J219" s="143" t="s">
        <v>1013</v>
      </c>
      <c r="K219" s="143" t="s">
        <v>1134</v>
      </c>
      <c r="L219" s="143" t="s">
        <v>52</v>
      </c>
      <c r="M219" s="143"/>
      <c r="N219" s="143"/>
      <c r="O219" s="143" t="s">
        <v>56</v>
      </c>
      <c r="P219" s="143"/>
      <c r="Q219" s="143"/>
      <c r="R219" s="143"/>
      <c r="S219" s="143"/>
      <c r="T219" s="143"/>
      <c r="U219" s="143"/>
      <c r="V219" s="143"/>
      <c r="W219" s="143"/>
      <c r="X219" s="144" t="str">
        <f t="shared" si="10"/>
        <v/>
      </c>
      <c r="Y219" s="145">
        <v>2.2000000000000002</v>
      </c>
      <c r="Z219" s="146" t="s">
        <v>1192</v>
      </c>
      <c r="AA219" s="247" t="s">
        <v>1326</v>
      </c>
      <c r="AB219" s="248">
        <f>AVERAGE($Y$225:$Y$241)</f>
        <v>8.0470588235294116</v>
      </c>
      <c r="AC219" s="248">
        <f>MEDIAN($Y$225:$Y$241)</f>
        <v>9.1</v>
      </c>
      <c r="AD219" s="248">
        <f>MAX($Y$225:$Y$241)</f>
        <v>19.399999999999999</v>
      </c>
      <c r="AE219" s="248">
        <f>MIN($Y$225:$Y$241)</f>
        <v>1.8</v>
      </c>
      <c r="AF219" s="248">
        <f>STDEV($Y$225:$Y$241)</f>
        <v>3.9706922644324307</v>
      </c>
      <c r="AG219" s="249">
        <f>COUNT($Y$225:$Y$241)</f>
        <v>17</v>
      </c>
      <c r="AH219" s="147" t="s">
        <v>1312</v>
      </c>
    </row>
    <row r="220" spans="1:35" s="147" customFormat="1">
      <c r="A220" s="140">
        <v>35</v>
      </c>
      <c r="B220" s="141" t="s">
        <v>45</v>
      </c>
      <c r="C220" s="141">
        <v>1982</v>
      </c>
      <c r="D220" s="141" t="s">
        <v>46</v>
      </c>
      <c r="E220" s="142" t="s">
        <v>49</v>
      </c>
      <c r="F220" s="143" t="s">
        <v>50</v>
      </c>
      <c r="G220" s="143" t="s">
        <v>51</v>
      </c>
      <c r="H220" s="143" t="s">
        <v>23</v>
      </c>
      <c r="I220" s="143"/>
      <c r="J220" s="143" t="s">
        <v>1013</v>
      </c>
      <c r="K220" s="143" t="s">
        <v>1134</v>
      </c>
      <c r="L220" s="143" t="s">
        <v>52</v>
      </c>
      <c r="M220" s="143"/>
      <c r="N220" s="143"/>
      <c r="O220" s="143" t="s">
        <v>57</v>
      </c>
      <c r="P220" s="143"/>
      <c r="Q220" s="143"/>
      <c r="R220" s="143"/>
      <c r="S220" s="143"/>
      <c r="T220" s="143"/>
      <c r="U220" s="143"/>
      <c r="V220" s="143"/>
      <c r="W220" s="143"/>
      <c r="X220" s="144" t="str">
        <f t="shared" si="10"/>
        <v/>
      </c>
      <c r="Y220" s="145">
        <v>2.7</v>
      </c>
      <c r="Z220" s="146" t="s">
        <v>1192</v>
      </c>
    </row>
    <row r="221" spans="1:35" s="147" customFormat="1">
      <c r="A221" s="140">
        <v>46</v>
      </c>
      <c r="B221" s="141" t="s">
        <v>45</v>
      </c>
      <c r="C221" s="141">
        <v>1984</v>
      </c>
      <c r="D221" s="141" t="s">
        <v>113</v>
      </c>
      <c r="E221" s="142" t="s">
        <v>49</v>
      </c>
      <c r="F221" s="143">
        <v>1983</v>
      </c>
      <c r="G221" s="143" t="s">
        <v>116</v>
      </c>
      <c r="H221" s="143" t="s">
        <v>95</v>
      </c>
      <c r="I221" s="143"/>
      <c r="J221" s="143" t="s">
        <v>1013</v>
      </c>
      <c r="K221" s="143" t="s">
        <v>1134</v>
      </c>
      <c r="L221" s="143" t="s">
        <v>117</v>
      </c>
      <c r="M221" s="143"/>
      <c r="N221" s="143"/>
      <c r="O221" s="143" t="s">
        <v>134</v>
      </c>
      <c r="P221" s="143">
        <v>0.94</v>
      </c>
      <c r="Q221" s="143"/>
      <c r="R221" s="143">
        <f>+P221</f>
        <v>0.94</v>
      </c>
      <c r="S221" s="143"/>
      <c r="T221" s="143"/>
      <c r="U221" s="143"/>
      <c r="V221" s="143"/>
      <c r="W221" s="143"/>
      <c r="X221" s="144">
        <f t="shared" si="10"/>
        <v>0.94</v>
      </c>
      <c r="Y221" s="145">
        <v>2.2000000000000002</v>
      </c>
      <c r="Z221" s="146" t="str">
        <f>IF(X221&lt;&gt;"",IF(X221&lt;0.9,"S","F"),"")</f>
        <v>F</v>
      </c>
    </row>
    <row r="222" spans="1:35" s="147" customFormat="1">
      <c r="A222" s="140">
        <v>35</v>
      </c>
      <c r="B222" s="141" t="s">
        <v>45</v>
      </c>
      <c r="C222" s="141">
        <v>1982</v>
      </c>
      <c r="D222" s="141" t="s">
        <v>46</v>
      </c>
      <c r="E222" s="142" t="s">
        <v>49</v>
      </c>
      <c r="F222" s="143" t="s">
        <v>50</v>
      </c>
      <c r="G222" s="143" t="s">
        <v>51</v>
      </c>
      <c r="H222" s="143" t="s">
        <v>23</v>
      </c>
      <c r="I222" s="143"/>
      <c r="J222" s="143" t="s">
        <v>1013</v>
      </c>
      <c r="K222" s="143" t="s">
        <v>1134</v>
      </c>
      <c r="L222" s="143" t="s">
        <v>52</v>
      </c>
      <c r="M222" s="143"/>
      <c r="N222" s="143"/>
      <c r="O222" s="143" t="s">
        <v>69</v>
      </c>
      <c r="P222" s="143">
        <v>0.91</v>
      </c>
      <c r="Q222" s="143"/>
      <c r="R222" s="143">
        <f>+P222</f>
        <v>0.91</v>
      </c>
      <c r="S222" s="143"/>
      <c r="T222" s="143"/>
      <c r="U222" s="143"/>
      <c r="V222" s="143">
        <v>2.6</v>
      </c>
      <c r="W222" s="143"/>
      <c r="X222" s="144">
        <f t="shared" si="10"/>
        <v>0.91</v>
      </c>
      <c r="Y222" s="145">
        <f>+V222</f>
        <v>2.6</v>
      </c>
      <c r="Z222" s="146" t="str">
        <f>IF(X222&lt;&gt;"",IF(X222&lt;0.9,"S","F"),"")</f>
        <v>F</v>
      </c>
    </row>
    <row r="223" spans="1:35" s="147" customFormat="1">
      <c r="A223" s="140">
        <v>35</v>
      </c>
      <c r="B223" s="141" t="s">
        <v>45</v>
      </c>
      <c r="C223" s="141">
        <v>1982</v>
      </c>
      <c r="D223" s="141" t="s">
        <v>46</v>
      </c>
      <c r="E223" s="142" t="s">
        <v>49</v>
      </c>
      <c r="F223" s="143" t="s">
        <v>50</v>
      </c>
      <c r="G223" s="143" t="s">
        <v>51</v>
      </c>
      <c r="H223" s="143" t="s">
        <v>23</v>
      </c>
      <c r="I223" s="143"/>
      <c r="J223" s="143" t="s">
        <v>1013</v>
      </c>
      <c r="K223" s="143" t="s">
        <v>1134</v>
      </c>
      <c r="L223" s="143" t="s">
        <v>52</v>
      </c>
      <c r="M223" s="143"/>
      <c r="N223" s="143"/>
      <c r="O223" s="143" t="s">
        <v>67</v>
      </c>
      <c r="P223" s="143">
        <v>0.9</v>
      </c>
      <c r="Q223" s="143"/>
      <c r="R223" s="143">
        <f>+P223</f>
        <v>0.9</v>
      </c>
      <c r="S223" s="143"/>
      <c r="T223" s="143"/>
      <c r="U223" s="143"/>
      <c r="V223" s="143">
        <v>3.4</v>
      </c>
      <c r="W223" s="143"/>
      <c r="X223" s="144">
        <f t="shared" si="10"/>
        <v>0.9</v>
      </c>
      <c r="Y223" s="145">
        <f>+V223</f>
        <v>3.4</v>
      </c>
      <c r="Z223" s="146" t="str">
        <f>IF(X223&lt;&gt;"",IF(X223&lt;0.9,"S","F"),"")</f>
        <v>F</v>
      </c>
    </row>
    <row r="224" spans="1:35" s="147" customFormat="1">
      <c r="A224" s="140">
        <v>46</v>
      </c>
      <c r="B224" s="141" t="s">
        <v>45</v>
      </c>
      <c r="C224" s="141">
        <v>1984</v>
      </c>
      <c r="D224" s="141" t="s">
        <v>113</v>
      </c>
      <c r="E224" s="142" t="s">
        <v>49</v>
      </c>
      <c r="F224" s="143">
        <v>1983</v>
      </c>
      <c r="G224" s="143" t="s">
        <v>116</v>
      </c>
      <c r="H224" s="143" t="s">
        <v>95</v>
      </c>
      <c r="I224" s="143"/>
      <c r="J224" s="143" t="s">
        <v>1013</v>
      </c>
      <c r="K224" s="143" t="s">
        <v>1134</v>
      </c>
      <c r="L224" s="143" t="s">
        <v>117</v>
      </c>
      <c r="M224" s="143"/>
      <c r="N224" s="143"/>
      <c r="O224" s="143" t="s">
        <v>131</v>
      </c>
      <c r="P224" s="143">
        <v>0.9</v>
      </c>
      <c r="Q224" s="143"/>
      <c r="R224" s="143">
        <f>+P224</f>
        <v>0.9</v>
      </c>
      <c r="S224" s="143"/>
      <c r="T224" s="143"/>
      <c r="U224" s="143"/>
      <c r="V224" s="143"/>
      <c r="W224" s="143"/>
      <c r="X224" s="144">
        <f t="shared" si="10"/>
        <v>0.9</v>
      </c>
      <c r="Y224" s="145">
        <v>2.8</v>
      </c>
      <c r="Z224" s="146" t="str">
        <f>IF(X224&lt;&gt;"",IF(X224&lt;0.9,"S","F"),"")</f>
        <v>F</v>
      </c>
    </row>
    <row r="225" spans="1:26" s="147" customFormat="1">
      <c r="A225" s="140">
        <v>35</v>
      </c>
      <c r="B225" s="141" t="s">
        <v>45</v>
      </c>
      <c r="C225" s="141">
        <v>1982</v>
      </c>
      <c r="D225" s="141" t="s">
        <v>46</v>
      </c>
      <c r="E225" s="142" t="s">
        <v>49</v>
      </c>
      <c r="F225" s="143" t="s">
        <v>50</v>
      </c>
      <c r="G225" s="143" t="s">
        <v>51</v>
      </c>
      <c r="H225" s="143" t="s">
        <v>23</v>
      </c>
      <c r="I225" s="143"/>
      <c r="J225" s="143" t="s">
        <v>1013</v>
      </c>
      <c r="K225" s="143" t="s">
        <v>1134</v>
      </c>
      <c r="L225" s="143" t="s">
        <v>52</v>
      </c>
      <c r="M225" s="143"/>
      <c r="N225" s="143"/>
      <c r="O225" s="143" t="s">
        <v>58</v>
      </c>
      <c r="P225" s="143"/>
      <c r="Q225" s="143"/>
      <c r="R225" s="143"/>
      <c r="S225" s="143"/>
      <c r="T225" s="143"/>
      <c r="U225" s="143"/>
      <c r="V225" s="143"/>
      <c r="W225" s="143"/>
      <c r="X225" s="144" t="str">
        <f t="shared" si="10"/>
        <v/>
      </c>
      <c r="Y225" s="145">
        <v>9.4</v>
      </c>
      <c r="Z225" s="146" t="s">
        <v>1193</v>
      </c>
    </row>
    <row r="226" spans="1:26" s="147" customFormat="1">
      <c r="A226" s="140">
        <v>35</v>
      </c>
      <c r="B226" s="141" t="s">
        <v>45</v>
      </c>
      <c r="C226" s="141">
        <v>1982</v>
      </c>
      <c r="D226" s="141" t="s">
        <v>46</v>
      </c>
      <c r="E226" s="142" t="s">
        <v>49</v>
      </c>
      <c r="F226" s="143" t="s">
        <v>50</v>
      </c>
      <c r="G226" s="143" t="s">
        <v>51</v>
      </c>
      <c r="H226" s="143" t="s">
        <v>23</v>
      </c>
      <c r="I226" s="143"/>
      <c r="J226" s="143" t="s">
        <v>1013</v>
      </c>
      <c r="K226" s="143" t="s">
        <v>1134</v>
      </c>
      <c r="L226" s="143" t="s">
        <v>52</v>
      </c>
      <c r="M226" s="143"/>
      <c r="N226" s="143"/>
      <c r="O226" s="143" t="s">
        <v>59</v>
      </c>
      <c r="P226" s="143"/>
      <c r="Q226" s="143"/>
      <c r="R226" s="143"/>
      <c r="S226" s="143"/>
      <c r="T226" s="143"/>
      <c r="U226" s="143"/>
      <c r="V226" s="143"/>
      <c r="W226" s="143"/>
      <c r="X226" s="144" t="str">
        <f t="shared" si="10"/>
        <v/>
      </c>
      <c r="Y226" s="145">
        <v>9.1999999999999993</v>
      </c>
      <c r="Z226" s="146" t="s">
        <v>1193</v>
      </c>
    </row>
    <row r="227" spans="1:26" s="147" customFormat="1">
      <c r="A227" s="140">
        <v>35</v>
      </c>
      <c r="B227" s="141" t="s">
        <v>45</v>
      </c>
      <c r="C227" s="141">
        <v>1982</v>
      </c>
      <c r="D227" s="141" t="s">
        <v>46</v>
      </c>
      <c r="E227" s="142" t="s">
        <v>49</v>
      </c>
      <c r="F227" s="143" t="s">
        <v>50</v>
      </c>
      <c r="G227" s="143" t="s">
        <v>51</v>
      </c>
      <c r="H227" s="143" t="s">
        <v>23</v>
      </c>
      <c r="I227" s="143"/>
      <c r="J227" s="143" t="s">
        <v>1013</v>
      </c>
      <c r="K227" s="143" t="s">
        <v>1134</v>
      </c>
      <c r="L227" s="143" t="s">
        <v>52</v>
      </c>
      <c r="M227" s="143"/>
      <c r="N227" s="143"/>
      <c r="O227" s="143" t="s">
        <v>60</v>
      </c>
      <c r="P227" s="143"/>
      <c r="Q227" s="143"/>
      <c r="R227" s="143"/>
      <c r="S227" s="143"/>
      <c r="T227" s="143"/>
      <c r="U227" s="143"/>
      <c r="V227" s="143"/>
      <c r="W227" s="143"/>
      <c r="X227" s="144" t="str">
        <f t="shared" si="10"/>
        <v/>
      </c>
      <c r="Y227" s="145">
        <v>9.9</v>
      </c>
      <c r="Z227" s="146" t="s">
        <v>1193</v>
      </c>
    </row>
    <row r="228" spans="1:26" s="147" customFormat="1">
      <c r="A228" s="140">
        <v>35</v>
      </c>
      <c r="B228" s="141" t="s">
        <v>45</v>
      </c>
      <c r="C228" s="141">
        <v>1982</v>
      </c>
      <c r="D228" s="141" t="s">
        <v>46</v>
      </c>
      <c r="E228" s="142" t="s">
        <v>49</v>
      </c>
      <c r="F228" s="143" t="s">
        <v>50</v>
      </c>
      <c r="G228" s="143" t="s">
        <v>51</v>
      </c>
      <c r="H228" s="143" t="s">
        <v>23</v>
      </c>
      <c r="I228" s="143"/>
      <c r="J228" s="143" t="s">
        <v>1013</v>
      </c>
      <c r="K228" s="143" t="s">
        <v>1134</v>
      </c>
      <c r="L228" s="143" t="s">
        <v>52</v>
      </c>
      <c r="M228" s="143"/>
      <c r="N228" s="143"/>
      <c r="O228" s="143" t="s">
        <v>61</v>
      </c>
      <c r="P228" s="143"/>
      <c r="Q228" s="143"/>
      <c r="R228" s="143"/>
      <c r="S228" s="143"/>
      <c r="T228" s="143"/>
      <c r="U228" s="143"/>
      <c r="V228" s="143"/>
      <c r="W228" s="143"/>
      <c r="X228" s="144" t="str">
        <f t="shared" si="10"/>
        <v/>
      </c>
      <c r="Y228" s="145">
        <v>9.6999999999999993</v>
      </c>
      <c r="Z228" s="146" t="s">
        <v>1193</v>
      </c>
    </row>
    <row r="229" spans="1:26" s="147" customFormat="1">
      <c r="A229" s="140">
        <v>35</v>
      </c>
      <c r="B229" s="141" t="s">
        <v>45</v>
      </c>
      <c r="C229" s="141">
        <v>1982</v>
      </c>
      <c r="D229" s="141" t="s">
        <v>46</v>
      </c>
      <c r="E229" s="142" t="s">
        <v>49</v>
      </c>
      <c r="F229" s="143" t="s">
        <v>50</v>
      </c>
      <c r="G229" s="143" t="s">
        <v>51</v>
      </c>
      <c r="H229" s="143" t="s">
        <v>23</v>
      </c>
      <c r="I229" s="143"/>
      <c r="J229" s="143" t="s">
        <v>1013</v>
      </c>
      <c r="K229" s="143" t="s">
        <v>1134</v>
      </c>
      <c r="L229" s="143" t="s">
        <v>52</v>
      </c>
      <c r="M229" s="143"/>
      <c r="N229" s="143"/>
      <c r="O229" s="143" t="s">
        <v>62</v>
      </c>
      <c r="P229" s="143"/>
      <c r="Q229" s="143"/>
      <c r="R229" s="143"/>
      <c r="S229" s="143"/>
      <c r="T229" s="143"/>
      <c r="U229" s="143"/>
      <c r="V229" s="143"/>
      <c r="W229" s="143"/>
      <c r="X229" s="144" t="str">
        <f t="shared" si="10"/>
        <v/>
      </c>
      <c r="Y229" s="145">
        <v>9.1</v>
      </c>
      <c r="Z229" s="146" t="s">
        <v>1193</v>
      </c>
    </row>
    <row r="230" spans="1:26" s="147" customFormat="1">
      <c r="A230" s="140">
        <v>35</v>
      </c>
      <c r="B230" s="141" t="s">
        <v>45</v>
      </c>
      <c r="C230" s="141">
        <v>1982</v>
      </c>
      <c r="D230" s="141" t="s">
        <v>46</v>
      </c>
      <c r="E230" s="142" t="s">
        <v>49</v>
      </c>
      <c r="F230" s="143" t="s">
        <v>50</v>
      </c>
      <c r="G230" s="143" t="s">
        <v>51</v>
      </c>
      <c r="H230" s="143" t="s">
        <v>23</v>
      </c>
      <c r="I230" s="143"/>
      <c r="J230" s="143" t="s">
        <v>1013</v>
      </c>
      <c r="K230" s="143" t="s">
        <v>1134</v>
      </c>
      <c r="L230" s="143" t="s">
        <v>52</v>
      </c>
      <c r="M230" s="143"/>
      <c r="N230" s="143"/>
      <c r="O230" s="143" t="s">
        <v>63</v>
      </c>
      <c r="P230" s="143"/>
      <c r="Q230" s="143"/>
      <c r="R230" s="143"/>
      <c r="S230" s="143"/>
      <c r="T230" s="143"/>
      <c r="U230" s="143"/>
      <c r="V230" s="143"/>
      <c r="W230" s="143"/>
      <c r="X230" s="144" t="str">
        <f t="shared" si="10"/>
        <v/>
      </c>
      <c r="Y230" s="145">
        <v>8.6999999999999993</v>
      </c>
      <c r="Z230" s="146" t="s">
        <v>1193</v>
      </c>
    </row>
    <row r="231" spans="1:26" s="147" customFormat="1">
      <c r="A231" s="140">
        <v>35</v>
      </c>
      <c r="B231" s="141" t="s">
        <v>45</v>
      </c>
      <c r="C231" s="141">
        <v>1982</v>
      </c>
      <c r="D231" s="141" t="s">
        <v>46</v>
      </c>
      <c r="E231" s="142" t="s">
        <v>49</v>
      </c>
      <c r="F231" s="143" t="s">
        <v>50</v>
      </c>
      <c r="G231" s="143" t="s">
        <v>51</v>
      </c>
      <c r="H231" s="143" t="s">
        <v>23</v>
      </c>
      <c r="I231" s="143"/>
      <c r="J231" s="143" t="s">
        <v>1013</v>
      </c>
      <c r="K231" s="143" t="s">
        <v>1134</v>
      </c>
      <c r="L231" s="143" t="s">
        <v>52</v>
      </c>
      <c r="M231" s="143"/>
      <c r="N231" s="143"/>
      <c r="O231" s="143" t="s">
        <v>64</v>
      </c>
      <c r="P231" s="143"/>
      <c r="Q231" s="143"/>
      <c r="R231" s="143"/>
      <c r="S231" s="143"/>
      <c r="T231" s="143"/>
      <c r="U231" s="143"/>
      <c r="V231" s="143"/>
      <c r="W231" s="143"/>
      <c r="X231" s="144" t="str">
        <f t="shared" si="10"/>
        <v/>
      </c>
      <c r="Y231" s="145">
        <v>9.6</v>
      </c>
      <c r="Z231" s="146" t="s">
        <v>1193</v>
      </c>
    </row>
    <row r="232" spans="1:26" s="147" customFormat="1">
      <c r="A232" s="140">
        <v>35</v>
      </c>
      <c r="B232" s="141" t="s">
        <v>45</v>
      </c>
      <c r="C232" s="141">
        <v>1982</v>
      </c>
      <c r="D232" s="141" t="s">
        <v>46</v>
      </c>
      <c r="E232" s="142" t="s">
        <v>49</v>
      </c>
      <c r="F232" s="143" t="s">
        <v>50</v>
      </c>
      <c r="G232" s="143" t="s">
        <v>51</v>
      </c>
      <c r="H232" s="143" t="s">
        <v>23</v>
      </c>
      <c r="I232" s="143"/>
      <c r="J232" s="143" t="s">
        <v>1013</v>
      </c>
      <c r="K232" s="143" t="s">
        <v>1134</v>
      </c>
      <c r="L232" s="143" t="s">
        <v>52</v>
      </c>
      <c r="M232" s="143"/>
      <c r="N232" s="143"/>
      <c r="O232" s="143" t="s">
        <v>65</v>
      </c>
      <c r="P232" s="143"/>
      <c r="Q232" s="143"/>
      <c r="R232" s="143"/>
      <c r="S232" s="143"/>
      <c r="T232" s="143"/>
      <c r="U232" s="143"/>
      <c r="V232" s="143"/>
      <c r="W232" s="143"/>
      <c r="X232" s="144" t="str">
        <f t="shared" si="10"/>
        <v/>
      </c>
      <c r="Y232" s="145">
        <v>9.6</v>
      </c>
      <c r="Z232" s="146" t="s">
        <v>1193</v>
      </c>
    </row>
    <row r="233" spans="1:26" s="147" customFormat="1">
      <c r="A233" s="140">
        <v>35</v>
      </c>
      <c r="B233" s="141" t="s">
        <v>45</v>
      </c>
      <c r="C233" s="141">
        <v>1982</v>
      </c>
      <c r="D233" s="141" t="s">
        <v>46</v>
      </c>
      <c r="E233" s="142" t="s">
        <v>49</v>
      </c>
      <c r="F233" s="143" t="s">
        <v>50</v>
      </c>
      <c r="G233" s="143" t="s">
        <v>51</v>
      </c>
      <c r="H233" s="143" t="s">
        <v>23</v>
      </c>
      <c r="I233" s="143"/>
      <c r="J233" s="143" t="s">
        <v>1013</v>
      </c>
      <c r="K233" s="143" t="s">
        <v>1134</v>
      </c>
      <c r="L233" s="143" t="s">
        <v>52</v>
      </c>
      <c r="M233" s="143"/>
      <c r="N233" s="143"/>
      <c r="O233" s="143" t="s">
        <v>66</v>
      </c>
      <c r="P233" s="143"/>
      <c r="Q233" s="143"/>
      <c r="R233" s="143"/>
      <c r="S233" s="143"/>
      <c r="T233" s="143"/>
      <c r="U233" s="143"/>
      <c r="V233" s="143"/>
      <c r="W233" s="143"/>
      <c r="X233" s="144" t="str">
        <f t="shared" si="10"/>
        <v/>
      </c>
      <c r="Y233" s="145">
        <v>9.6</v>
      </c>
      <c r="Z233" s="146" t="s">
        <v>1193</v>
      </c>
    </row>
    <row r="234" spans="1:26" s="147" customFormat="1">
      <c r="A234" s="140">
        <v>46</v>
      </c>
      <c r="B234" s="141" t="s">
        <v>45</v>
      </c>
      <c r="C234" s="141">
        <v>1984</v>
      </c>
      <c r="D234" s="141" t="s">
        <v>113</v>
      </c>
      <c r="E234" s="142" t="s">
        <v>49</v>
      </c>
      <c r="F234" s="143">
        <v>1983</v>
      </c>
      <c r="G234" s="143" t="s">
        <v>116</v>
      </c>
      <c r="H234" s="143" t="s">
        <v>95</v>
      </c>
      <c r="I234" s="143"/>
      <c r="J234" s="143" t="s">
        <v>1013</v>
      </c>
      <c r="K234" s="143" t="s">
        <v>1134</v>
      </c>
      <c r="L234" s="143" t="s">
        <v>117</v>
      </c>
      <c r="M234" s="143"/>
      <c r="N234" s="143"/>
      <c r="O234" s="143" t="s">
        <v>123</v>
      </c>
      <c r="P234" s="143">
        <v>0.89</v>
      </c>
      <c r="Q234" s="143"/>
      <c r="R234" s="143">
        <f>+P234</f>
        <v>0.89</v>
      </c>
      <c r="S234" s="143"/>
      <c r="T234" s="143"/>
      <c r="U234" s="143"/>
      <c r="V234" s="143"/>
      <c r="W234" s="143"/>
      <c r="X234" s="144">
        <f t="shared" si="10"/>
        <v>0.89</v>
      </c>
      <c r="Y234" s="145">
        <v>1.8</v>
      </c>
      <c r="Z234" s="146" t="str">
        <f t="shared" ref="Z234:Z346" si="11">IF(X234&lt;&gt;"",IF(X234&lt;0.9,"S","F"),"")</f>
        <v>S</v>
      </c>
    </row>
    <row r="235" spans="1:26" s="147" customFormat="1">
      <c r="A235" s="140">
        <v>46</v>
      </c>
      <c r="B235" s="141" t="s">
        <v>45</v>
      </c>
      <c r="C235" s="141">
        <v>1984</v>
      </c>
      <c r="D235" s="141" t="s">
        <v>113</v>
      </c>
      <c r="E235" s="142" t="s">
        <v>49</v>
      </c>
      <c r="F235" s="143">
        <v>1983</v>
      </c>
      <c r="G235" s="143" t="s">
        <v>116</v>
      </c>
      <c r="H235" s="143" t="s">
        <v>95</v>
      </c>
      <c r="I235" s="143"/>
      <c r="J235" s="143" t="s">
        <v>1013</v>
      </c>
      <c r="K235" s="143" t="s">
        <v>1134</v>
      </c>
      <c r="L235" s="143" t="s">
        <v>117</v>
      </c>
      <c r="M235" s="143"/>
      <c r="N235" s="143"/>
      <c r="O235" s="143" t="s">
        <v>126</v>
      </c>
      <c r="P235" s="143">
        <v>0.89</v>
      </c>
      <c r="Q235" s="143"/>
      <c r="R235" s="143">
        <f>+P235</f>
        <v>0.89</v>
      </c>
      <c r="S235" s="143"/>
      <c r="T235" s="143"/>
      <c r="U235" s="143"/>
      <c r="V235" s="143"/>
      <c r="W235" s="143"/>
      <c r="X235" s="144">
        <f t="shared" si="10"/>
        <v>0.89</v>
      </c>
      <c r="Y235" s="145">
        <v>2.2000000000000002</v>
      </c>
      <c r="Z235" s="146" t="str">
        <f t="shared" si="11"/>
        <v>S</v>
      </c>
    </row>
    <row r="236" spans="1:26" s="147" customFormat="1">
      <c r="A236" s="140">
        <v>46</v>
      </c>
      <c r="B236" s="141" t="s">
        <v>45</v>
      </c>
      <c r="C236" s="141">
        <v>1984</v>
      </c>
      <c r="D236" s="141" t="s">
        <v>113</v>
      </c>
      <c r="E236" s="142" t="s">
        <v>49</v>
      </c>
      <c r="F236" s="143">
        <v>1983</v>
      </c>
      <c r="G236" s="143" t="s">
        <v>116</v>
      </c>
      <c r="H236" s="143" t="s">
        <v>95</v>
      </c>
      <c r="I236" s="143"/>
      <c r="J236" s="143" t="s">
        <v>1013</v>
      </c>
      <c r="K236" s="143" t="s">
        <v>1134</v>
      </c>
      <c r="L236" s="143" t="s">
        <v>117</v>
      </c>
      <c r="M236" s="143"/>
      <c r="N236" s="143"/>
      <c r="O236" s="143" t="s">
        <v>121</v>
      </c>
      <c r="P236" s="143">
        <v>0.88</v>
      </c>
      <c r="Q236" s="143"/>
      <c r="R236" s="143">
        <f>+P236</f>
        <v>0.88</v>
      </c>
      <c r="S236" s="143"/>
      <c r="T236" s="143"/>
      <c r="U236" s="143"/>
      <c r="V236" s="143"/>
      <c r="W236" s="143"/>
      <c r="X236" s="144">
        <f t="shared" si="10"/>
        <v>0.88</v>
      </c>
      <c r="Y236" s="145">
        <v>4.2</v>
      </c>
      <c r="Z236" s="146" t="str">
        <f t="shared" si="11"/>
        <v>S</v>
      </c>
    </row>
    <row r="237" spans="1:26" s="147" customFormat="1">
      <c r="A237" s="140">
        <v>46</v>
      </c>
      <c r="B237" s="141" t="s">
        <v>45</v>
      </c>
      <c r="C237" s="141">
        <v>1984</v>
      </c>
      <c r="D237" s="141" t="s">
        <v>113</v>
      </c>
      <c r="E237" s="142" t="s">
        <v>49</v>
      </c>
      <c r="F237" s="143">
        <v>1983</v>
      </c>
      <c r="G237" s="143" t="s">
        <v>116</v>
      </c>
      <c r="H237" s="143" t="s">
        <v>95</v>
      </c>
      <c r="I237" s="143"/>
      <c r="J237" s="143" t="s">
        <v>1013</v>
      </c>
      <c r="K237" s="143" t="s">
        <v>1134</v>
      </c>
      <c r="L237" s="143" t="s">
        <v>117</v>
      </c>
      <c r="M237" s="143"/>
      <c r="N237" s="143"/>
      <c r="O237" s="143" t="s">
        <v>128</v>
      </c>
      <c r="P237" s="143"/>
      <c r="Q237" s="143">
        <v>0.85</v>
      </c>
      <c r="R237" s="143">
        <f>+Q237</f>
        <v>0.85</v>
      </c>
      <c r="S237" s="143"/>
      <c r="T237" s="143"/>
      <c r="U237" s="143"/>
      <c r="V237" s="143"/>
      <c r="W237" s="143"/>
      <c r="X237" s="144">
        <f t="shared" si="10"/>
        <v>0.85</v>
      </c>
      <c r="Y237" s="145">
        <v>5.9</v>
      </c>
      <c r="Z237" s="146" t="str">
        <f t="shared" si="11"/>
        <v>S</v>
      </c>
    </row>
    <row r="238" spans="1:26" s="147" customFormat="1">
      <c r="A238" s="140">
        <v>35</v>
      </c>
      <c r="B238" s="141" t="s">
        <v>45</v>
      </c>
      <c r="C238" s="141">
        <v>1982</v>
      </c>
      <c r="D238" s="141" t="s">
        <v>46</v>
      </c>
      <c r="E238" s="142" t="s">
        <v>49</v>
      </c>
      <c r="F238" s="143" t="s">
        <v>50</v>
      </c>
      <c r="G238" s="143" t="s">
        <v>51</v>
      </c>
      <c r="H238" s="143" t="s">
        <v>23</v>
      </c>
      <c r="I238" s="143"/>
      <c r="J238" s="143" t="s">
        <v>1013</v>
      </c>
      <c r="K238" s="143" t="s">
        <v>1134</v>
      </c>
      <c r="L238" s="143" t="s">
        <v>52</v>
      </c>
      <c r="M238" s="143"/>
      <c r="N238" s="143"/>
      <c r="O238" s="143" t="s">
        <v>67</v>
      </c>
      <c r="P238" s="143"/>
      <c r="Q238" s="143">
        <v>0.84</v>
      </c>
      <c r="R238" s="143">
        <f>+Q238</f>
        <v>0.84</v>
      </c>
      <c r="S238" s="143"/>
      <c r="T238" s="143"/>
      <c r="U238" s="143"/>
      <c r="V238" s="143"/>
      <c r="W238" s="143">
        <v>6.7</v>
      </c>
      <c r="X238" s="144">
        <f t="shared" si="10"/>
        <v>0.84</v>
      </c>
      <c r="Y238" s="145">
        <f>+W238</f>
        <v>6.7</v>
      </c>
      <c r="Z238" s="146" t="str">
        <f t="shared" si="11"/>
        <v>S</v>
      </c>
    </row>
    <row r="239" spans="1:26" s="147" customFormat="1">
      <c r="A239" s="140">
        <v>35</v>
      </c>
      <c r="B239" s="141" t="s">
        <v>45</v>
      </c>
      <c r="C239" s="141">
        <v>1982</v>
      </c>
      <c r="D239" s="141" t="s">
        <v>46</v>
      </c>
      <c r="E239" s="142" t="s">
        <v>49</v>
      </c>
      <c r="F239" s="143" t="s">
        <v>50</v>
      </c>
      <c r="G239" s="143" t="s">
        <v>51</v>
      </c>
      <c r="H239" s="143" t="s">
        <v>23</v>
      </c>
      <c r="I239" s="143"/>
      <c r="J239" s="143" t="s">
        <v>1013</v>
      </c>
      <c r="K239" s="143" t="s">
        <v>1134</v>
      </c>
      <c r="L239" s="143" t="s">
        <v>52</v>
      </c>
      <c r="M239" s="143"/>
      <c r="N239" s="143"/>
      <c r="O239" s="143" t="s">
        <v>71</v>
      </c>
      <c r="P239" s="143">
        <v>0.84</v>
      </c>
      <c r="Q239" s="143"/>
      <c r="R239" s="143">
        <f>+P239</f>
        <v>0.84</v>
      </c>
      <c r="S239" s="143"/>
      <c r="T239" s="143"/>
      <c r="U239" s="143"/>
      <c r="V239" s="143">
        <v>5</v>
      </c>
      <c r="W239" s="143"/>
      <c r="X239" s="144">
        <f t="shared" si="10"/>
        <v>0.84</v>
      </c>
      <c r="Y239" s="145">
        <f>+V239</f>
        <v>5</v>
      </c>
      <c r="Z239" s="146" t="str">
        <f t="shared" si="11"/>
        <v>S</v>
      </c>
    </row>
    <row r="240" spans="1:26" s="147" customFormat="1">
      <c r="A240" s="140">
        <v>46</v>
      </c>
      <c r="B240" s="141" t="s">
        <v>45</v>
      </c>
      <c r="C240" s="141">
        <v>1984</v>
      </c>
      <c r="D240" s="141" t="s">
        <v>113</v>
      </c>
      <c r="E240" s="142" t="s">
        <v>49</v>
      </c>
      <c r="F240" s="143">
        <v>1983</v>
      </c>
      <c r="G240" s="143" t="s">
        <v>116</v>
      </c>
      <c r="H240" s="143" t="s">
        <v>95</v>
      </c>
      <c r="I240" s="143"/>
      <c r="J240" s="143" t="s">
        <v>1013</v>
      </c>
      <c r="K240" s="143" t="s">
        <v>1134</v>
      </c>
      <c r="L240" s="143" t="s">
        <v>117</v>
      </c>
      <c r="M240" s="143"/>
      <c r="N240" s="143"/>
      <c r="O240" s="143" t="s">
        <v>120</v>
      </c>
      <c r="P240" s="143"/>
      <c r="Q240" s="143">
        <v>0.8</v>
      </c>
      <c r="R240" s="143">
        <f t="shared" ref="R240:R255" si="12">+Q240</f>
        <v>0.8</v>
      </c>
      <c r="S240" s="143"/>
      <c r="T240" s="143"/>
      <c r="U240" s="143"/>
      <c r="V240" s="143"/>
      <c r="W240" s="143"/>
      <c r="X240" s="144">
        <f t="shared" si="10"/>
        <v>0.8</v>
      </c>
      <c r="Y240" s="145">
        <v>6.8</v>
      </c>
      <c r="Z240" s="146" t="str">
        <f t="shared" si="11"/>
        <v>S</v>
      </c>
    </row>
    <row r="241" spans="1:33" s="147" customFormat="1">
      <c r="A241" s="140">
        <v>46</v>
      </c>
      <c r="B241" s="141" t="s">
        <v>45</v>
      </c>
      <c r="C241" s="141">
        <v>1984</v>
      </c>
      <c r="D241" s="141" t="s">
        <v>113</v>
      </c>
      <c r="E241" s="142" t="s">
        <v>49</v>
      </c>
      <c r="F241" s="143">
        <v>1983</v>
      </c>
      <c r="G241" s="143" t="s">
        <v>116</v>
      </c>
      <c r="H241" s="143" t="s">
        <v>95</v>
      </c>
      <c r="I241" s="143"/>
      <c r="J241" s="143" t="s">
        <v>1013</v>
      </c>
      <c r="K241" s="143" t="s">
        <v>1134</v>
      </c>
      <c r="L241" s="143" t="s">
        <v>117</v>
      </c>
      <c r="M241" s="143"/>
      <c r="N241" s="143"/>
      <c r="O241" s="143" t="s">
        <v>130</v>
      </c>
      <c r="P241" s="143"/>
      <c r="Q241" s="143">
        <v>0.8</v>
      </c>
      <c r="R241" s="143">
        <f t="shared" si="12"/>
        <v>0.8</v>
      </c>
      <c r="S241" s="143"/>
      <c r="T241" s="143"/>
      <c r="U241" s="143"/>
      <c r="V241" s="143"/>
      <c r="W241" s="143"/>
      <c r="X241" s="144">
        <f t="shared" si="10"/>
        <v>0.8</v>
      </c>
      <c r="Y241" s="145">
        <v>19.399999999999999</v>
      </c>
      <c r="Z241" s="146" t="str">
        <f t="shared" si="11"/>
        <v>S</v>
      </c>
    </row>
    <row r="242" spans="1:33" s="147" customFormat="1">
      <c r="A242" s="140">
        <v>46</v>
      </c>
      <c r="B242" s="141" t="s">
        <v>45</v>
      </c>
      <c r="C242" s="141">
        <v>1984</v>
      </c>
      <c r="D242" s="141" t="s">
        <v>113</v>
      </c>
      <c r="E242" s="142" t="s">
        <v>49</v>
      </c>
      <c r="F242" s="143">
        <v>1983</v>
      </c>
      <c r="G242" s="143" t="s">
        <v>116</v>
      </c>
      <c r="H242" s="143" t="s">
        <v>95</v>
      </c>
      <c r="I242" s="143"/>
      <c r="J242" s="143" t="s">
        <v>1013</v>
      </c>
      <c r="K242" s="143" t="s">
        <v>1134</v>
      </c>
      <c r="L242" s="143" t="s">
        <v>117</v>
      </c>
      <c r="M242" s="143"/>
      <c r="N242" s="143"/>
      <c r="O242" s="143" t="s">
        <v>122</v>
      </c>
      <c r="P242" s="143"/>
      <c r="Q242" s="143">
        <v>0.79</v>
      </c>
      <c r="R242" s="143">
        <f t="shared" si="12"/>
        <v>0.79</v>
      </c>
      <c r="S242" s="143"/>
      <c r="T242" s="143"/>
      <c r="U242" s="143"/>
      <c r="V242" s="143"/>
      <c r="W242" s="143"/>
      <c r="X242" s="144">
        <f t="shared" si="10"/>
        <v>0.79</v>
      </c>
      <c r="Y242" s="145">
        <v>7.1</v>
      </c>
      <c r="Z242" s="146" t="str">
        <f t="shared" si="11"/>
        <v>S</v>
      </c>
    </row>
    <row r="243" spans="1:33" s="147" customFormat="1">
      <c r="A243" s="140">
        <v>46</v>
      </c>
      <c r="B243" s="141" t="s">
        <v>45</v>
      </c>
      <c r="C243" s="141">
        <v>1984</v>
      </c>
      <c r="D243" s="141" t="s">
        <v>113</v>
      </c>
      <c r="E243" s="142" t="s">
        <v>49</v>
      </c>
      <c r="F243" s="143">
        <v>1983</v>
      </c>
      <c r="G243" s="143" t="s">
        <v>116</v>
      </c>
      <c r="H243" s="143" t="s">
        <v>95</v>
      </c>
      <c r="I243" s="143"/>
      <c r="J243" s="143" t="s">
        <v>1013</v>
      </c>
      <c r="K243" s="143" t="s">
        <v>1134</v>
      </c>
      <c r="L243" s="143" t="s">
        <v>117</v>
      </c>
      <c r="M243" s="143"/>
      <c r="N243" s="143"/>
      <c r="O243" s="143" t="s">
        <v>124</v>
      </c>
      <c r="P243" s="143"/>
      <c r="Q243" s="143">
        <v>0.78</v>
      </c>
      <c r="R243" s="143">
        <f t="shared" si="12"/>
        <v>0.78</v>
      </c>
      <c r="S243" s="143"/>
      <c r="T243" s="143"/>
      <c r="U243" s="143"/>
      <c r="V243" s="143"/>
      <c r="W243" s="143"/>
      <c r="X243" s="144">
        <f t="shared" si="10"/>
        <v>0.78</v>
      </c>
      <c r="Y243" s="145">
        <v>8.4</v>
      </c>
      <c r="Z243" s="146" t="str">
        <f t="shared" si="11"/>
        <v>S</v>
      </c>
    </row>
    <row r="244" spans="1:33" s="147" customFormat="1">
      <c r="A244" s="140">
        <v>35</v>
      </c>
      <c r="B244" s="141" t="s">
        <v>45</v>
      </c>
      <c r="C244" s="141">
        <v>1982</v>
      </c>
      <c r="D244" s="141" t="s">
        <v>46</v>
      </c>
      <c r="E244" s="142" t="s">
        <v>49</v>
      </c>
      <c r="F244" s="143" t="s">
        <v>50</v>
      </c>
      <c r="G244" s="143" t="s">
        <v>51</v>
      </c>
      <c r="H244" s="143" t="s">
        <v>23</v>
      </c>
      <c r="I244" s="143"/>
      <c r="J244" s="143" t="s">
        <v>1013</v>
      </c>
      <c r="K244" s="143" t="s">
        <v>1134</v>
      </c>
      <c r="L244" s="143" t="s">
        <v>52</v>
      </c>
      <c r="M244" s="143"/>
      <c r="N244" s="143"/>
      <c r="O244" s="143" t="s">
        <v>70</v>
      </c>
      <c r="P244" s="143"/>
      <c r="Q244" s="143">
        <v>0.78</v>
      </c>
      <c r="R244" s="143">
        <f t="shared" si="12"/>
        <v>0.78</v>
      </c>
      <c r="S244" s="143"/>
      <c r="T244" s="143"/>
      <c r="U244" s="143"/>
      <c r="V244" s="143"/>
      <c r="W244" s="143">
        <v>9.4</v>
      </c>
      <c r="X244" s="144">
        <f t="shared" si="10"/>
        <v>0.78</v>
      </c>
      <c r="Y244" s="145">
        <f>+W244</f>
        <v>9.4</v>
      </c>
      <c r="Z244" s="146" t="str">
        <f t="shared" si="11"/>
        <v>S</v>
      </c>
    </row>
    <row r="245" spans="1:33" s="147" customFormat="1">
      <c r="A245" s="140">
        <v>35</v>
      </c>
      <c r="B245" s="141" t="s">
        <v>45</v>
      </c>
      <c r="C245" s="141">
        <v>1982</v>
      </c>
      <c r="D245" s="141" t="s">
        <v>46</v>
      </c>
      <c r="E245" s="142" t="s">
        <v>49</v>
      </c>
      <c r="F245" s="143" t="s">
        <v>50</v>
      </c>
      <c r="G245" s="143" t="s">
        <v>51</v>
      </c>
      <c r="H245" s="143" t="s">
        <v>23</v>
      </c>
      <c r="I245" s="143"/>
      <c r="J245" s="143" t="s">
        <v>1013</v>
      </c>
      <c r="K245" s="143" t="s">
        <v>1134</v>
      </c>
      <c r="L245" s="143" t="s">
        <v>52</v>
      </c>
      <c r="M245" s="143"/>
      <c r="N245" s="143"/>
      <c r="O245" s="143" t="s">
        <v>69</v>
      </c>
      <c r="P245" s="143"/>
      <c r="Q245" s="143">
        <v>0.78</v>
      </c>
      <c r="R245" s="143">
        <f t="shared" si="12"/>
        <v>0.78</v>
      </c>
      <c r="S245" s="143"/>
      <c r="T245" s="143"/>
      <c r="U245" s="143"/>
      <c r="V245" s="143"/>
      <c r="W245" s="143">
        <v>9.5</v>
      </c>
      <c r="X245" s="144">
        <f t="shared" si="10"/>
        <v>0.78</v>
      </c>
      <c r="Y245" s="145">
        <f>+W245</f>
        <v>9.5</v>
      </c>
      <c r="Z245" s="146" t="str">
        <f t="shared" si="11"/>
        <v>S</v>
      </c>
    </row>
    <row r="246" spans="1:33" s="147" customFormat="1">
      <c r="A246" s="140">
        <v>46</v>
      </c>
      <c r="B246" s="141" t="s">
        <v>45</v>
      </c>
      <c r="C246" s="141">
        <v>1984</v>
      </c>
      <c r="D246" s="141" t="s">
        <v>113</v>
      </c>
      <c r="E246" s="142" t="s">
        <v>49</v>
      </c>
      <c r="F246" s="143">
        <v>1983</v>
      </c>
      <c r="G246" s="143" t="s">
        <v>116</v>
      </c>
      <c r="H246" s="143" t="s">
        <v>95</v>
      </c>
      <c r="I246" s="143"/>
      <c r="J246" s="143" t="s">
        <v>1013</v>
      </c>
      <c r="K246" s="143" t="s">
        <v>1134</v>
      </c>
      <c r="L246" s="143" t="s">
        <v>117</v>
      </c>
      <c r="M246" s="143"/>
      <c r="N246" s="143"/>
      <c r="O246" s="143" t="s">
        <v>129</v>
      </c>
      <c r="P246" s="143"/>
      <c r="Q246" s="143">
        <v>0.77</v>
      </c>
      <c r="R246" s="143">
        <f t="shared" si="12"/>
        <v>0.77</v>
      </c>
      <c r="S246" s="143"/>
      <c r="T246" s="143"/>
      <c r="U246" s="143"/>
      <c r="V246" s="143"/>
      <c r="W246" s="143"/>
      <c r="X246" s="144">
        <f t="shared" si="10"/>
        <v>0.77</v>
      </c>
      <c r="Y246" s="145">
        <v>9.6999999999999993</v>
      </c>
      <c r="Z246" s="146" t="str">
        <f t="shared" si="11"/>
        <v>S</v>
      </c>
    </row>
    <row r="247" spans="1:33" s="147" customFormat="1">
      <c r="A247" s="140">
        <v>46</v>
      </c>
      <c r="B247" s="141" t="s">
        <v>45</v>
      </c>
      <c r="C247" s="141">
        <v>1984</v>
      </c>
      <c r="D247" s="141" t="s">
        <v>113</v>
      </c>
      <c r="E247" s="142" t="s">
        <v>49</v>
      </c>
      <c r="F247" s="143">
        <v>1983</v>
      </c>
      <c r="G247" s="143" t="s">
        <v>116</v>
      </c>
      <c r="H247" s="143" t="s">
        <v>95</v>
      </c>
      <c r="I247" s="143"/>
      <c r="J247" s="143" t="s">
        <v>1013</v>
      </c>
      <c r="K247" s="143" t="s">
        <v>1134</v>
      </c>
      <c r="L247" s="143" t="s">
        <v>117</v>
      </c>
      <c r="M247" s="143"/>
      <c r="N247" s="143"/>
      <c r="O247" s="143" t="s">
        <v>125</v>
      </c>
      <c r="P247" s="143"/>
      <c r="Q247" s="143">
        <v>0.77</v>
      </c>
      <c r="R247" s="143">
        <f t="shared" si="12"/>
        <v>0.77</v>
      </c>
      <c r="S247" s="143"/>
      <c r="T247" s="143"/>
      <c r="U247" s="143"/>
      <c r="V247" s="143"/>
      <c r="W247" s="143"/>
      <c r="X247" s="144">
        <f t="shared" si="10"/>
        <v>0.77</v>
      </c>
      <c r="Y247" s="145">
        <v>7.8</v>
      </c>
      <c r="Z247" s="146" t="str">
        <f t="shared" si="11"/>
        <v>S</v>
      </c>
    </row>
    <row r="248" spans="1:33" s="147" customFormat="1">
      <c r="A248" s="140">
        <v>35</v>
      </c>
      <c r="B248" s="141" t="s">
        <v>45</v>
      </c>
      <c r="C248" s="141">
        <v>1982</v>
      </c>
      <c r="D248" s="141" t="s">
        <v>46</v>
      </c>
      <c r="E248" s="142" t="s">
        <v>49</v>
      </c>
      <c r="F248" s="143" t="s">
        <v>50</v>
      </c>
      <c r="G248" s="143" t="s">
        <v>51</v>
      </c>
      <c r="H248" s="143" t="s">
        <v>23</v>
      </c>
      <c r="I248" s="143"/>
      <c r="J248" s="143" t="s">
        <v>1013</v>
      </c>
      <c r="K248" s="143" t="s">
        <v>1134</v>
      </c>
      <c r="L248" s="143" t="s">
        <v>52</v>
      </c>
      <c r="M248" s="143"/>
      <c r="N248" s="143"/>
      <c r="O248" s="143" t="s">
        <v>68</v>
      </c>
      <c r="P248" s="143"/>
      <c r="Q248" s="143">
        <v>0.74</v>
      </c>
      <c r="R248" s="143">
        <f t="shared" si="12"/>
        <v>0.74</v>
      </c>
      <c r="S248" s="143"/>
      <c r="T248" s="143"/>
      <c r="U248" s="143"/>
      <c r="V248" s="143"/>
      <c r="W248" s="143">
        <v>10.6</v>
      </c>
      <c r="X248" s="144">
        <f t="shared" si="10"/>
        <v>0.74</v>
      </c>
      <c r="Y248" s="145">
        <f>+W248</f>
        <v>10.6</v>
      </c>
      <c r="Z248" s="146" t="str">
        <f t="shared" si="11"/>
        <v>S</v>
      </c>
    </row>
    <row r="249" spans="1:33" s="147" customFormat="1">
      <c r="A249" s="140">
        <v>46</v>
      </c>
      <c r="B249" s="141" t="s">
        <v>45</v>
      </c>
      <c r="C249" s="141">
        <v>1984</v>
      </c>
      <c r="D249" s="141" t="s">
        <v>113</v>
      </c>
      <c r="E249" s="142" t="s">
        <v>49</v>
      </c>
      <c r="F249" s="143">
        <v>1983</v>
      </c>
      <c r="G249" s="143" t="s">
        <v>116</v>
      </c>
      <c r="H249" s="143" t="s">
        <v>95</v>
      </c>
      <c r="I249" s="143"/>
      <c r="J249" s="143" t="s">
        <v>1013</v>
      </c>
      <c r="K249" s="143" t="s">
        <v>1134</v>
      </c>
      <c r="L249" s="143" t="s">
        <v>117</v>
      </c>
      <c r="M249" s="143"/>
      <c r="N249" s="143"/>
      <c r="O249" s="143" t="s">
        <v>127</v>
      </c>
      <c r="P249" s="143"/>
      <c r="Q249" s="143">
        <v>0.74</v>
      </c>
      <c r="R249" s="143">
        <f t="shared" si="12"/>
        <v>0.74</v>
      </c>
      <c r="S249" s="143"/>
      <c r="T249" s="143"/>
      <c r="U249" s="143"/>
      <c r="V249" s="143"/>
      <c r="W249" s="143"/>
      <c r="X249" s="144">
        <f t="shared" si="10"/>
        <v>0.74</v>
      </c>
      <c r="Y249" s="145">
        <v>7.6</v>
      </c>
      <c r="Z249" s="146" t="str">
        <f t="shared" si="11"/>
        <v>S</v>
      </c>
    </row>
    <row r="250" spans="1:33" s="147" customFormat="1">
      <c r="A250" s="140">
        <v>35</v>
      </c>
      <c r="B250" s="141" t="s">
        <v>45</v>
      </c>
      <c r="C250" s="141">
        <v>1982</v>
      </c>
      <c r="D250" s="141" t="s">
        <v>46</v>
      </c>
      <c r="E250" s="142" t="s">
        <v>49</v>
      </c>
      <c r="F250" s="143" t="s">
        <v>50</v>
      </c>
      <c r="G250" s="143" t="s">
        <v>51</v>
      </c>
      <c r="H250" s="143" t="s">
        <v>23</v>
      </c>
      <c r="I250" s="143"/>
      <c r="J250" s="143" t="s">
        <v>1013</v>
      </c>
      <c r="K250" s="143" t="s">
        <v>1134</v>
      </c>
      <c r="L250" s="143" t="s">
        <v>52</v>
      </c>
      <c r="M250" s="143"/>
      <c r="N250" s="143"/>
      <c r="O250" s="143" t="s">
        <v>71</v>
      </c>
      <c r="P250" s="143"/>
      <c r="Q250" s="143">
        <v>0.74</v>
      </c>
      <c r="R250" s="143">
        <f t="shared" si="12"/>
        <v>0.74</v>
      </c>
      <c r="S250" s="143"/>
      <c r="T250" s="143"/>
      <c r="U250" s="143"/>
      <c r="V250" s="143"/>
      <c r="W250" s="143">
        <v>8.9</v>
      </c>
      <c r="X250" s="144">
        <f t="shared" si="10"/>
        <v>0.74</v>
      </c>
      <c r="Y250" s="145">
        <f>+W250</f>
        <v>8.9</v>
      </c>
      <c r="Z250" s="146" t="str">
        <f t="shared" si="11"/>
        <v>S</v>
      </c>
    </row>
    <row r="251" spans="1:33" s="147" customFormat="1">
      <c r="A251" s="140">
        <v>35</v>
      </c>
      <c r="B251" s="141" t="s">
        <v>45</v>
      </c>
      <c r="C251" s="141">
        <v>1982</v>
      </c>
      <c r="D251" s="141" t="s">
        <v>46</v>
      </c>
      <c r="E251" s="142" t="s">
        <v>49</v>
      </c>
      <c r="F251" s="143" t="s">
        <v>50</v>
      </c>
      <c r="G251" s="143" t="s">
        <v>51</v>
      </c>
      <c r="H251" s="143" t="s">
        <v>23</v>
      </c>
      <c r="I251" s="143"/>
      <c r="J251" s="143" t="s">
        <v>1013</v>
      </c>
      <c r="K251" s="143" t="s">
        <v>1134</v>
      </c>
      <c r="L251" s="143" t="s">
        <v>52</v>
      </c>
      <c r="M251" s="143"/>
      <c r="N251" s="143"/>
      <c r="O251" s="143" t="s">
        <v>72</v>
      </c>
      <c r="P251" s="143"/>
      <c r="Q251" s="143">
        <v>0.71</v>
      </c>
      <c r="R251" s="143">
        <f t="shared" si="12"/>
        <v>0.71</v>
      </c>
      <c r="S251" s="143"/>
      <c r="T251" s="143"/>
      <c r="U251" s="143"/>
      <c r="V251" s="143"/>
      <c r="W251" s="143">
        <v>13.4</v>
      </c>
      <c r="X251" s="144">
        <f t="shared" si="10"/>
        <v>0.71</v>
      </c>
      <c r="Y251" s="145">
        <f>+W251</f>
        <v>13.4</v>
      </c>
      <c r="Z251" s="146" t="str">
        <f t="shared" si="11"/>
        <v>S</v>
      </c>
    </row>
    <row r="252" spans="1:33" s="147" customFormat="1">
      <c r="A252" s="140">
        <v>46</v>
      </c>
      <c r="B252" s="141" t="s">
        <v>45</v>
      </c>
      <c r="C252" s="141">
        <v>1984</v>
      </c>
      <c r="D252" s="141" t="s">
        <v>113</v>
      </c>
      <c r="E252" s="142" t="s">
        <v>49</v>
      </c>
      <c r="F252" s="143">
        <v>1983</v>
      </c>
      <c r="G252" s="143" t="s">
        <v>116</v>
      </c>
      <c r="H252" s="143" t="s">
        <v>95</v>
      </c>
      <c r="I252" s="143"/>
      <c r="J252" s="143" t="s">
        <v>1013</v>
      </c>
      <c r="K252" s="143" t="s">
        <v>1134</v>
      </c>
      <c r="L252" s="143" t="s">
        <v>117</v>
      </c>
      <c r="M252" s="143"/>
      <c r="N252" s="143"/>
      <c r="O252" s="143" t="s">
        <v>133</v>
      </c>
      <c r="P252" s="143"/>
      <c r="Q252" s="143">
        <v>0.69</v>
      </c>
      <c r="R252" s="143">
        <f t="shared" si="12"/>
        <v>0.69</v>
      </c>
      <c r="S252" s="143"/>
      <c r="T252" s="143"/>
      <c r="U252" s="143"/>
      <c r="V252" s="143"/>
      <c r="W252" s="143"/>
      <c r="X252" s="144">
        <f t="shared" si="10"/>
        <v>0.69</v>
      </c>
      <c r="Y252" s="145">
        <v>6.2</v>
      </c>
      <c r="Z252" s="146" t="str">
        <f t="shared" si="11"/>
        <v>S</v>
      </c>
    </row>
    <row r="253" spans="1:33" s="147" customFormat="1">
      <c r="A253" s="140">
        <v>46</v>
      </c>
      <c r="B253" s="141" t="s">
        <v>45</v>
      </c>
      <c r="C253" s="141">
        <v>1984</v>
      </c>
      <c r="D253" s="141" t="s">
        <v>113</v>
      </c>
      <c r="E253" s="142" t="s">
        <v>49</v>
      </c>
      <c r="F253" s="143">
        <v>1983</v>
      </c>
      <c r="G253" s="143" t="s">
        <v>116</v>
      </c>
      <c r="H253" s="143" t="s">
        <v>95</v>
      </c>
      <c r="I253" s="143"/>
      <c r="J253" s="143" t="s">
        <v>1013</v>
      </c>
      <c r="K253" s="143" t="s">
        <v>1134</v>
      </c>
      <c r="L253" s="143" t="s">
        <v>117</v>
      </c>
      <c r="M253" s="143"/>
      <c r="N253" s="143"/>
      <c r="O253" s="143" t="s">
        <v>119</v>
      </c>
      <c r="P253" s="143"/>
      <c r="Q253" s="143">
        <v>0.66</v>
      </c>
      <c r="R253" s="143">
        <f t="shared" si="12"/>
        <v>0.66</v>
      </c>
      <c r="S253" s="143"/>
      <c r="T253" s="143"/>
      <c r="U253" s="143"/>
      <c r="V253" s="143"/>
      <c r="W253" s="143"/>
      <c r="X253" s="144">
        <f t="shared" si="10"/>
        <v>0.66</v>
      </c>
      <c r="Y253" s="145">
        <v>9.5</v>
      </c>
      <c r="Z253" s="146" t="str">
        <f t="shared" si="11"/>
        <v>S</v>
      </c>
    </row>
    <row r="254" spans="1:33" s="147" customFormat="1">
      <c r="A254" s="140">
        <v>46</v>
      </c>
      <c r="B254" s="141" t="s">
        <v>45</v>
      </c>
      <c r="C254" s="141">
        <v>1984</v>
      </c>
      <c r="D254" s="141" t="s">
        <v>113</v>
      </c>
      <c r="E254" s="142" t="s">
        <v>49</v>
      </c>
      <c r="F254" s="143">
        <v>1983</v>
      </c>
      <c r="G254" s="143" t="s">
        <v>116</v>
      </c>
      <c r="H254" s="143" t="s">
        <v>95</v>
      </c>
      <c r="I254" s="143"/>
      <c r="J254" s="143" t="s">
        <v>1013</v>
      </c>
      <c r="K254" s="143" t="s">
        <v>1134</v>
      </c>
      <c r="L254" s="143" t="s">
        <v>117</v>
      </c>
      <c r="M254" s="143"/>
      <c r="N254" s="143"/>
      <c r="O254" s="143" t="s">
        <v>132</v>
      </c>
      <c r="P254" s="143"/>
      <c r="Q254" s="143">
        <v>0.65</v>
      </c>
      <c r="R254" s="143">
        <f t="shared" si="12"/>
        <v>0.65</v>
      </c>
      <c r="S254" s="143"/>
      <c r="T254" s="143"/>
      <c r="U254" s="143"/>
      <c r="V254" s="143"/>
      <c r="W254" s="143"/>
      <c r="X254" s="144">
        <f t="shared" si="10"/>
        <v>0.65</v>
      </c>
      <c r="Y254" s="145">
        <v>5.7</v>
      </c>
      <c r="Z254" s="146" t="str">
        <f t="shared" si="11"/>
        <v>S</v>
      </c>
    </row>
    <row r="255" spans="1:33" s="147" customFormat="1">
      <c r="A255" s="140">
        <v>46</v>
      </c>
      <c r="B255" s="141" t="s">
        <v>45</v>
      </c>
      <c r="C255" s="141">
        <v>1984</v>
      </c>
      <c r="D255" s="141" t="s">
        <v>113</v>
      </c>
      <c r="E255" s="142" t="s">
        <v>49</v>
      </c>
      <c r="F255" s="143">
        <v>1983</v>
      </c>
      <c r="G255" s="143" t="s">
        <v>116</v>
      </c>
      <c r="H255" s="143" t="s">
        <v>95</v>
      </c>
      <c r="I255" s="143"/>
      <c r="J255" s="143" t="s">
        <v>1013</v>
      </c>
      <c r="K255" s="143" t="s">
        <v>1134</v>
      </c>
      <c r="L255" s="143" t="s">
        <v>117</v>
      </c>
      <c r="M255" s="143"/>
      <c r="N255" s="143"/>
      <c r="O255" s="143" t="s">
        <v>118</v>
      </c>
      <c r="P255" s="143"/>
      <c r="Q255" s="143">
        <v>0.63</v>
      </c>
      <c r="R255" s="143">
        <f t="shared" si="12"/>
        <v>0.63</v>
      </c>
      <c r="S255" s="143"/>
      <c r="T255" s="143"/>
      <c r="U255" s="143"/>
      <c r="V255" s="143"/>
      <c r="W255" s="143"/>
      <c r="X255" s="144">
        <f t="shared" si="10"/>
        <v>0.63</v>
      </c>
      <c r="Y255" s="145">
        <v>10</v>
      </c>
      <c r="Z255" s="146" t="str">
        <f t="shared" si="11"/>
        <v>S</v>
      </c>
    </row>
    <row r="256" spans="1:33" s="267" customFormat="1">
      <c r="A256" s="260"/>
      <c r="B256" s="261" t="s">
        <v>1276</v>
      </c>
      <c r="C256" s="262">
        <v>1989</v>
      </c>
      <c r="D256" s="263"/>
      <c r="E256" s="264" t="s">
        <v>49</v>
      </c>
      <c r="F256" s="265"/>
      <c r="G256" s="265"/>
      <c r="H256" s="265"/>
      <c r="I256" s="265"/>
      <c r="J256" s="266" t="s">
        <v>1013</v>
      </c>
      <c r="K256" s="266" t="s">
        <v>1002</v>
      </c>
      <c r="L256" s="265"/>
      <c r="M256" s="265"/>
      <c r="N256" s="265"/>
      <c r="O256" s="267" t="s">
        <v>1233</v>
      </c>
      <c r="P256" s="265"/>
      <c r="Q256" s="265"/>
      <c r="R256" s="267">
        <v>0.97199999999999998</v>
      </c>
      <c r="S256" s="265"/>
      <c r="T256" s="265"/>
      <c r="U256" s="265"/>
      <c r="V256" s="265"/>
      <c r="W256" s="265"/>
      <c r="X256" s="263">
        <f t="shared" ref="X256:X301" si="13">IF(R256&lt;&gt;0,IF(R256&gt;1,R256/100,R256),IF(U256&lt;&gt;0,IF(U256&gt;1,U256/100,U256),""))</f>
        <v>0.97199999999999998</v>
      </c>
      <c r="Y256" s="267">
        <v>0.7</v>
      </c>
      <c r="Z256" s="268" t="str">
        <f t="shared" ref="Z256:Z301" si="14">IF(X256&lt;&gt;"",IF(X256&lt;0.9,"S","F"),"")</f>
        <v>F</v>
      </c>
      <c r="AA256" s="281"/>
      <c r="AB256" s="281" t="s">
        <v>1206</v>
      </c>
      <c r="AC256" s="281" t="s">
        <v>1207</v>
      </c>
      <c r="AD256" s="281" t="s">
        <v>1208</v>
      </c>
      <c r="AE256" s="281" t="s">
        <v>1209</v>
      </c>
      <c r="AF256" s="281" t="s">
        <v>1210</v>
      </c>
      <c r="AG256" s="281" t="s">
        <v>1211</v>
      </c>
    </row>
    <row r="257" spans="1:34" s="267" customFormat="1">
      <c r="A257" s="260"/>
      <c r="B257" s="261" t="s">
        <v>1276</v>
      </c>
      <c r="C257" s="262">
        <v>1989</v>
      </c>
      <c r="D257" s="263"/>
      <c r="E257" s="264" t="s">
        <v>49</v>
      </c>
      <c r="F257" s="265"/>
      <c r="G257" s="265"/>
      <c r="H257" s="265"/>
      <c r="I257" s="265"/>
      <c r="J257" s="266" t="s">
        <v>1013</v>
      </c>
      <c r="K257" s="266" t="s">
        <v>1002</v>
      </c>
      <c r="L257" s="265"/>
      <c r="M257" s="265"/>
      <c r="N257" s="265"/>
      <c r="O257" s="267" t="s">
        <v>1232</v>
      </c>
      <c r="P257" s="265"/>
      <c r="Q257" s="265"/>
      <c r="R257" s="267">
        <v>0.94899999999999995</v>
      </c>
      <c r="S257" s="265"/>
      <c r="T257" s="265"/>
      <c r="U257" s="265"/>
      <c r="V257" s="265"/>
      <c r="W257" s="265"/>
      <c r="X257" s="263">
        <f t="shared" si="13"/>
        <v>0.94899999999999995</v>
      </c>
      <c r="Y257" s="267">
        <v>1.9</v>
      </c>
      <c r="Z257" s="268" t="str">
        <f t="shared" si="14"/>
        <v>F</v>
      </c>
      <c r="AA257" s="282" t="s">
        <v>1391</v>
      </c>
      <c r="AB257" s="283">
        <f>AVERAGE($Y$256:$Y$283)</f>
        <v>5.0142857142857142</v>
      </c>
      <c r="AC257" s="283">
        <f>MEDIAN($Y$256:$Y$283)</f>
        <v>5</v>
      </c>
      <c r="AD257" s="283">
        <f>MAX($Y$256:$Y$283)</f>
        <v>10.5</v>
      </c>
      <c r="AE257" s="283">
        <f>MIN($Y$256:$Y$283)</f>
        <v>0.7</v>
      </c>
      <c r="AF257" s="283">
        <f>STDEV($Y$256:$Y$283)</f>
        <v>2.7188933322918261</v>
      </c>
      <c r="AG257" s="281">
        <f>COUNT($Y$256:$Y$283)</f>
        <v>28</v>
      </c>
    </row>
    <row r="258" spans="1:34" s="267" customFormat="1">
      <c r="A258" s="260"/>
      <c r="B258" s="261" t="s">
        <v>1276</v>
      </c>
      <c r="C258" s="262">
        <v>1989</v>
      </c>
      <c r="D258" s="263"/>
      <c r="E258" s="264" t="s">
        <v>49</v>
      </c>
      <c r="F258" s="265"/>
      <c r="G258" s="265"/>
      <c r="H258" s="265"/>
      <c r="I258" s="265"/>
      <c r="J258" s="266" t="s">
        <v>1013</v>
      </c>
      <c r="K258" s="266" t="s">
        <v>1002</v>
      </c>
      <c r="L258" s="265"/>
      <c r="M258" s="265"/>
      <c r="N258" s="265"/>
      <c r="O258" s="267" t="s">
        <v>1230</v>
      </c>
      <c r="P258" s="265"/>
      <c r="Q258" s="265"/>
      <c r="R258" s="267">
        <v>0.94</v>
      </c>
      <c r="S258" s="265"/>
      <c r="T258" s="265"/>
      <c r="U258" s="265"/>
      <c r="V258" s="265"/>
      <c r="W258" s="265"/>
      <c r="X258" s="263">
        <f t="shared" si="13"/>
        <v>0.94</v>
      </c>
      <c r="Y258" s="267">
        <v>1.9</v>
      </c>
      <c r="Z258" s="268" t="str">
        <f t="shared" si="14"/>
        <v>F</v>
      </c>
      <c r="AA258" s="282" t="s">
        <v>1277</v>
      </c>
      <c r="AB258" s="283">
        <f>AVERAGE($Y$256:$Y$262)</f>
        <v>2.0285714285714285</v>
      </c>
      <c r="AC258" s="283">
        <f>MEDIAN($Y$256:$Y$262)</f>
        <v>2</v>
      </c>
      <c r="AD258" s="283">
        <f>MAX($Y$256:$Y$262)</f>
        <v>3</v>
      </c>
      <c r="AE258" s="283">
        <f>MIN($Y$256:$Y$262)</f>
        <v>0.7</v>
      </c>
      <c r="AF258" s="283">
        <f>STDEV($Y$256:$Y$262)</f>
        <v>0.72964440132228292</v>
      </c>
      <c r="AG258" s="281">
        <f>COUNT($Y$256:$Y$262)</f>
        <v>7</v>
      </c>
    </row>
    <row r="259" spans="1:34" s="267" customFormat="1">
      <c r="A259" s="260"/>
      <c r="B259" s="261" t="s">
        <v>1276</v>
      </c>
      <c r="C259" s="262">
        <v>1989</v>
      </c>
      <c r="D259" s="263"/>
      <c r="E259" s="264" t="s">
        <v>49</v>
      </c>
      <c r="F259" s="265"/>
      <c r="G259" s="265"/>
      <c r="H259" s="265"/>
      <c r="I259" s="265"/>
      <c r="J259" s="266" t="s">
        <v>1013</v>
      </c>
      <c r="K259" s="266" t="s">
        <v>1002</v>
      </c>
      <c r="L259" s="265"/>
      <c r="M259" s="265"/>
      <c r="N259" s="265"/>
      <c r="O259" s="267" t="s">
        <v>1234</v>
      </c>
      <c r="P259" s="265"/>
      <c r="Q259" s="265"/>
      <c r="R259" s="267">
        <v>0.93600000000000005</v>
      </c>
      <c r="S259" s="265"/>
      <c r="T259" s="265"/>
      <c r="U259" s="265"/>
      <c r="V259" s="265"/>
      <c r="W259" s="265"/>
      <c r="X259" s="263">
        <f t="shared" si="13"/>
        <v>0.93600000000000005</v>
      </c>
      <c r="Y259" s="267">
        <v>2</v>
      </c>
      <c r="Z259" s="268" t="str">
        <f t="shared" si="14"/>
        <v>F</v>
      </c>
      <c r="AA259" s="282" t="s">
        <v>1278</v>
      </c>
      <c r="AB259" s="283">
        <f>AVERAGE($Y$263:$Y$274)</f>
        <v>5.2416666666666671</v>
      </c>
      <c r="AC259" s="283">
        <f>MEDIAN($Y$263:$Y$274)</f>
        <v>5.5</v>
      </c>
      <c r="AD259" s="283">
        <f>MAX($Y$263:$Y$274)</f>
        <v>9</v>
      </c>
      <c r="AE259" s="283">
        <f>MIN($Y$263:$Y$274)</f>
        <v>1.8</v>
      </c>
      <c r="AF259" s="283">
        <f>STDEV($Y$263:$Y$274)</f>
        <v>2.0205572288731424</v>
      </c>
      <c r="AG259" s="281">
        <f>COUNT($Y$263:$Y$274)</f>
        <v>12</v>
      </c>
      <c r="AH259" s="267" t="s">
        <v>1312</v>
      </c>
    </row>
    <row r="260" spans="1:34" s="267" customFormat="1">
      <c r="A260" s="260"/>
      <c r="B260" s="261" t="s">
        <v>1276</v>
      </c>
      <c r="C260" s="262">
        <v>1989</v>
      </c>
      <c r="D260" s="263"/>
      <c r="E260" s="264" t="s">
        <v>49</v>
      </c>
      <c r="F260" s="265"/>
      <c r="G260" s="265"/>
      <c r="H260" s="265"/>
      <c r="I260" s="265"/>
      <c r="J260" s="266" t="s">
        <v>1013</v>
      </c>
      <c r="K260" s="266" t="s">
        <v>1002</v>
      </c>
      <c r="L260" s="265"/>
      <c r="M260" s="265"/>
      <c r="N260" s="265"/>
      <c r="O260" s="267" t="s">
        <v>1254</v>
      </c>
      <c r="P260" s="265"/>
      <c r="Q260" s="265"/>
      <c r="R260" s="267">
        <v>0.93500000000000005</v>
      </c>
      <c r="S260" s="265"/>
      <c r="T260" s="265"/>
      <c r="U260" s="265"/>
      <c r="V260" s="265"/>
      <c r="W260" s="265"/>
      <c r="X260" s="263">
        <f t="shared" si="13"/>
        <v>0.93500000000000005</v>
      </c>
      <c r="Y260" s="267">
        <v>2</v>
      </c>
      <c r="Z260" s="268" t="str">
        <f t="shared" si="14"/>
        <v>F</v>
      </c>
    </row>
    <row r="261" spans="1:34" s="267" customFormat="1">
      <c r="A261" s="260"/>
      <c r="B261" s="261" t="s">
        <v>1276</v>
      </c>
      <c r="C261" s="262">
        <v>1989</v>
      </c>
      <c r="D261" s="263"/>
      <c r="E261" s="264" t="s">
        <v>49</v>
      </c>
      <c r="F261" s="265"/>
      <c r="G261" s="265"/>
      <c r="H261" s="265"/>
      <c r="I261" s="265"/>
      <c r="J261" s="266" t="s">
        <v>1013</v>
      </c>
      <c r="K261" s="266" t="s">
        <v>1002</v>
      </c>
      <c r="L261" s="265"/>
      <c r="M261" s="265"/>
      <c r="N261" s="265"/>
      <c r="O261" s="267" t="s">
        <v>1235</v>
      </c>
      <c r="P261" s="265"/>
      <c r="Q261" s="265"/>
      <c r="R261" s="267">
        <v>0.93300000000000005</v>
      </c>
      <c r="S261" s="265"/>
      <c r="T261" s="265"/>
      <c r="U261" s="265"/>
      <c r="V261" s="265"/>
      <c r="W261" s="265"/>
      <c r="X261" s="263">
        <f t="shared" si="13"/>
        <v>0.93300000000000005</v>
      </c>
      <c r="Y261" s="267">
        <v>2.7</v>
      </c>
      <c r="Z261" s="268" t="str">
        <f t="shared" si="14"/>
        <v>F</v>
      </c>
    </row>
    <row r="262" spans="1:34" s="267" customFormat="1">
      <c r="A262" s="260"/>
      <c r="B262" s="261" t="s">
        <v>1276</v>
      </c>
      <c r="C262" s="262">
        <v>1989</v>
      </c>
      <c r="D262" s="263"/>
      <c r="E262" s="264" t="s">
        <v>49</v>
      </c>
      <c r="F262" s="265"/>
      <c r="G262" s="265"/>
      <c r="H262" s="265"/>
      <c r="I262" s="265"/>
      <c r="J262" s="266" t="s">
        <v>1013</v>
      </c>
      <c r="K262" s="266" t="s">
        <v>1002</v>
      </c>
      <c r="L262" s="265"/>
      <c r="M262" s="265"/>
      <c r="N262" s="265"/>
      <c r="O262" s="267" t="s">
        <v>1231</v>
      </c>
      <c r="P262" s="265"/>
      <c r="Q262" s="265"/>
      <c r="R262" s="267">
        <v>0.93</v>
      </c>
      <c r="S262" s="265"/>
      <c r="T262" s="265"/>
      <c r="U262" s="265"/>
      <c r="V262" s="265"/>
      <c r="W262" s="265"/>
      <c r="X262" s="263">
        <f t="shared" si="13"/>
        <v>0.93</v>
      </c>
      <c r="Y262" s="267">
        <v>3</v>
      </c>
      <c r="Z262" s="268" t="str">
        <f t="shared" si="14"/>
        <v>F</v>
      </c>
    </row>
    <row r="263" spans="1:34" s="267" customFormat="1">
      <c r="A263" s="260"/>
      <c r="B263" s="261" t="s">
        <v>1276</v>
      </c>
      <c r="C263" s="262">
        <v>1989</v>
      </c>
      <c r="D263" s="263"/>
      <c r="E263" s="264" t="s">
        <v>49</v>
      </c>
      <c r="F263" s="265"/>
      <c r="G263" s="265"/>
      <c r="H263" s="265"/>
      <c r="I263" s="265"/>
      <c r="J263" s="266" t="s">
        <v>1013</v>
      </c>
      <c r="K263" s="266" t="s">
        <v>1002</v>
      </c>
      <c r="L263" s="265"/>
      <c r="M263" s="265"/>
      <c r="N263" s="265"/>
      <c r="O263" s="267" t="s">
        <v>1226</v>
      </c>
      <c r="P263" s="265"/>
      <c r="Q263" s="265"/>
      <c r="R263" s="267">
        <v>0.89</v>
      </c>
      <c r="S263" s="265"/>
      <c r="T263" s="265"/>
      <c r="U263" s="265"/>
      <c r="V263" s="265"/>
      <c r="W263" s="265"/>
      <c r="X263" s="263">
        <f t="shared" si="13"/>
        <v>0.89</v>
      </c>
      <c r="Y263" s="267">
        <v>1.8</v>
      </c>
      <c r="Z263" s="268" t="str">
        <f t="shared" si="14"/>
        <v>S</v>
      </c>
    </row>
    <row r="264" spans="1:34" s="267" customFormat="1">
      <c r="A264" s="260"/>
      <c r="B264" s="261" t="s">
        <v>1276</v>
      </c>
      <c r="C264" s="262">
        <v>1989</v>
      </c>
      <c r="D264" s="263"/>
      <c r="E264" s="264" t="s">
        <v>49</v>
      </c>
      <c r="F264" s="265"/>
      <c r="G264" s="265"/>
      <c r="H264" s="265"/>
      <c r="I264" s="265"/>
      <c r="J264" s="266" t="s">
        <v>1013</v>
      </c>
      <c r="K264" s="266" t="s">
        <v>1002</v>
      </c>
      <c r="L264" s="265"/>
      <c r="M264" s="265"/>
      <c r="N264" s="265"/>
      <c r="O264" s="267" t="s">
        <v>1228</v>
      </c>
      <c r="P264" s="265"/>
      <c r="Q264" s="265"/>
      <c r="R264" s="267">
        <v>0.89</v>
      </c>
      <c r="S264" s="265"/>
      <c r="T264" s="265"/>
      <c r="U264" s="265"/>
      <c r="V264" s="265"/>
      <c r="W264" s="265"/>
      <c r="X264" s="263">
        <f t="shared" si="13"/>
        <v>0.89</v>
      </c>
      <c r="Y264" s="267">
        <v>2.2000000000000002</v>
      </c>
      <c r="Z264" s="268" t="str">
        <f t="shared" si="14"/>
        <v>S</v>
      </c>
    </row>
    <row r="265" spans="1:34" s="267" customFormat="1">
      <c r="A265" s="260"/>
      <c r="B265" s="261" t="s">
        <v>1276</v>
      </c>
      <c r="C265" s="262">
        <v>1989</v>
      </c>
      <c r="D265" s="263"/>
      <c r="E265" s="264" t="s">
        <v>49</v>
      </c>
      <c r="F265" s="265"/>
      <c r="G265" s="265"/>
      <c r="H265" s="265"/>
      <c r="I265" s="265"/>
      <c r="J265" s="266" t="s">
        <v>1013</v>
      </c>
      <c r="K265" s="266" t="s">
        <v>1002</v>
      </c>
      <c r="L265" s="265"/>
      <c r="M265" s="265"/>
      <c r="N265" s="265"/>
      <c r="O265" s="267" t="s">
        <v>1227</v>
      </c>
      <c r="P265" s="265"/>
      <c r="Q265" s="265"/>
      <c r="R265" s="267">
        <v>0.88</v>
      </c>
      <c r="S265" s="265"/>
      <c r="T265" s="265"/>
      <c r="U265" s="265"/>
      <c r="V265" s="265"/>
      <c r="W265" s="265"/>
      <c r="X265" s="263">
        <f t="shared" si="13"/>
        <v>0.88</v>
      </c>
      <c r="Y265" s="267">
        <v>4.2</v>
      </c>
      <c r="Z265" s="268" t="str">
        <f t="shared" si="14"/>
        <v>S</v>
      </c>
    </row>
    <row r="266" spans="1:34" s="267" customFormat="1">
      <c r="A266" s="260"/>
      <c r="B266" s="261" t="s">
        <v>1276</v>
      </c>
      <c r="C266" s="262">
        <v>1989</v>
      </c>
      <c r="D266" s="263"/>
      <c r="E266" s="264" t="s">
        <v>49</v>
      </c>
      <c r="F266" s="265"/>
      <c r="G266" s="265"/>
      <c r="H266" s="265"/>
      <c r="I266" s="265"/>
      <c r="J266" s="266" t="s">
        <v>1013</v>
      </c>
      <c r="K266" s="266" t="s">
        <v>1002</v>
      </c>
      <c r="L266" s="265"/>
      <c r="M266" s="265"/>
      <c r="N266" s="265"/>
      <c r="O266" s="267" t="s">
        <v>1250</v>
      </c>
      <c r="P266" s="265"/>
      <c r="Q266" s="265"/>
      <c r="R266" s="267">
        <v>0.85</v>
      </c>
      <c r="S266" s="265"/>
      <c r="T266" s="265"/>
      <c r="U266" s="265"/>
      <c r="V266" s="265"/>
      <c r="W266" s="265"/>
      <c r="X266" s="263">
        <f t="shared" si="13"/>
        <v>0.85</v>
      </c>
      <c r="Y266" s="267">
        <v>4</v>
      </c>
      <c r="Z266" s="268" t="str">
        <f t="shared" si="14"/>
        <v>S</v>
      </c>
    </row>
    <row r="267" spans="1:34" s="267" customFormat="1">
      <c r="A267" s="260"/>
      <c r="B267" s="261" t="s">
        <v>1276</v>
      </c>
      <c r="C267" s="262">
        <v>1989</v>
      </c>
      <c r="D267" s="263"/>
      <c r="E267" s="264" t="s">
        <v>49</v>
      </c>
      <c r="F267" s="265"/>
      <c r="G267" s="265"/>
      <c r="H267" s="265"/>
      <c r="I267" s="265"/>
      <c r="J267" s="266" t="s">
        <v>1013</v>
      </c>
      <c r="K267" s="266" t="s">
        <v>1002</v>
      </c>
      <c r="L267" s="265"/>
      <c r="M267" s="265"/>
      <c r="N267" s="265"/>
      <c r="O267" s="267" t="s">
        <v>1255</v>
      </c>
      <c r="P267" s="265"/>
      <c r="Q267" s="265"/>
      <c r="R267" s="267">
        <v>0.84599999999999997</v>
      </c>
      <c r="S267" s="265"/>
      <c r="T267" s="265"/>
      <c r="U267" s="265"/>
      <c r="V267" s="265"/>
      <c r="W267" s="265"/>
      <c r="X267" s="263">
        <f t="shared" si="13"/>
        <v>0.84599999999999997</v>
      </c>
      <c r="Y267" s="267">
        <v>5</v>
      </c>
      <c r="Z267" s="268" t="str">
        <f t="shared" si="14"/>
        <v>S</v>
      </c>
    </row>
    <row r="268" spans="1:34" s="267" customFormat="1">
      <c r="A268" s="260"/>
      <c r="B268" s="261" t="s">
        <v>1276</v>
      </c>
      <c r="C268" s="262">
        <v>1989</v>
      </c>
      <c r="D268" s="263"/>
      <c r="E268" s="264" t="s">
        <v>49</v>
      </c>
      <c r="F268" s="265"/>
      <c r="G268" s="265"/>
      <c r="H268" s="265"/>
      <c r="I268" s="265"/>
      <c r="J268" s="266" t="s">
        <v>1013</v>
      </c>
      <c r="K268" s="266" t="s">
        <v>1002</v>
      </c>
      <c r="L268" s="265"/>
      <c r="M268" s="265"/>
      <c r="N268" s="265"/>
      <c r="O268" s="267" t="s">
        <v>1252</v>
      </c>
      <c r="P268" s="265"/>
      <c r="Q268" s="265"/>
      <c r="R268" s="267">
        <v>0.84099999999999997</v>
      </c>
      <c r="S268" s="265"/>
      <c r="T268" s="265"/>
      <c r="U268" s="265"/>
      <c r="V268" s="265"/>
      <c r="W268" s="265"/>
      <c r="X268" s="263">
        <f t="shared" si="13"/>
        <v>0.84099999999999997</v>
      </c>
      <c r="Y268" s="267">
        <v>6</v>
      </c>
      <c r="Z268" s="268" t="str">
        <f t="shared" si="14"/>
        <v>S</v>
      </c>
    </row>
    <row r="269" spans="1:34" s="267" customFormat="1">
      <c r="A269" s="260"/>
      <c r="B269" s="261" t="s">
        <v>1276</v>
      </c>
      <c r="C269" s="262">
        <v>1989</v>
      </c>
      <c r="D269" s="263"/>
      <c r="E269" s="264" t="s">
        <v>49</v>
      </c>
      <c r="F269" s="265"/>
      <c r="G269" s="265"/>
      <c r="H269" s="265"/>
      <c r="I269" s="265"/>
      <c r="J269" s="266" t="s">
        <v>1013</v>
      </c>
      <c r="K269" s="266" t="s">
        <v>1002</v>
      </c>
      <c r="L269" s="265"/>
      <c r="M269" s="265"/>
      <c r="N269" s="265"/>
      <c r="O269" s="267" t="s">
        <v>1247</v>
      </c>
      <c r="P269" s="265"/>
      <c r="Q269" s="265"/>
      <c r="R269" s="267">
        <v>0.83</v>
      </c>
      <c r="S269" s="265"/>
      <c r="T269" s="265"/>
      <c r="U269" s="265"/>
      <c r="V269" s="265"/>
      <c r="W269" s="265"/>
      <c r="X269" s="263">
        <f t="shared" si="13"/>
        <v>0.83</v>
      </c>
      <c r="Y269" s="267">
        <v>5</v>
      </c>
      <c r="Z269" s="268" t="str">
        <f t="shared" si="14"/>
        <v>S</v>
      </c>
    </row>
    <row r="270" spans="1:34" s="267" customFormat="1">
      <c r="A270" s="260"/>
      <c r="B270" s="261" t="s">
        <v>1276</v>
      </c>
      <c r="C270" s="262">
        <v>1989</v>
      </c>
      <c r="D270" s="263"/>
      <c r="E270" s="264" t="s">
        <v>49</v>
      </c>
      <c r="F270" s="265"/>
      <c r="G270" s="265"/>
      <c r="H270" s="265"/>
      <c r="I270" s="265"/>
      <c r="J270" s="266" t="s">
        <v>1013</v>
      </c>
      <c r="K270" s="266" t="s">
        <v>1002</v>
      </c>
      <c r="L270" s="265"/>
      <c r="M270" s="265"/>
      <c r="N270" s="265"/>
      <c r="O270" s="267" t="s">
        <v>1253</v>
      </c>
      <c r="P270" s="265"/>
      <c r="Q270" s="265"/>
      <c r="R270" s="267">
        <v>0.82199999999999995</v>
      </c>
      <c r="S270" s="265"/>
      <c r="T270" s="265"/>
      <c r="U270" s="265"/>
      <c r="V270" s="265"/>
      <c r="W270" s="265"/>
      <c r="X270" s="263">
        <f t="shared" si="13"/>
        <v>0.82199999999999995</v>
      </c>
      <c r="Y270" s="267">
        <v>6</v>
      </c>
      <c r="Z270" s="268" t="str">
        <f t="shared" si="14"/>
        <v>S</v>
      </c>
    </row>
    <row r="271" spans="1:34" s="267" customFormat="1">
      <c r="A271" s="260"/>
      <c r="B271" s="261" t="s">
        <v>1276</v>
      </c>
      <c r="C271" s="262">
        <v>1989</v>
      </c>
      <c r="D271" s="263"/>
      <c r="E271" s="264" t="s">
        <v>49</v>
      </c>
      <c r="F271" s="265"/>
      <c r="G271" s="265"/>
      <c r="H271" s="265"/>
      <c r="I271" s="265"/>
      <c r="J271" s="266" t="s">
        <v>1013</v>
      </c>
      <c r="K271" s="266" t="s">
        <v>1002</v>
      </c>
      <c r="L271" s="265"/>
      <c r="M271" s="265"/>
      <c r="N271" s="265"/>
      <c r="O271" s="267" t="s">
        <v>1249</v>
      </c>
      <c r="P271" s="265"/>
      <c r="Q271" s="265"/>
      <c r="R271" s="267">
        <v>0.81599999999999995</v>
      </c>
      <c r="S271" s="265"/>
      <c r="T271" s="265"/>
      <c r="U271" s="265"/>
      <c r="V271" s="265"/>
      <c r="W271" s="265"/>
      <c r="X271" s="263">
        <f t="shared" si="13"/>
        <v>0.81599999999999995</v>
      </c>
      <c r="Y271" s="267">
        <v>6</v>
      </c>
      <c r="Z271" s="268" t="str">
        <f t="shared" si="14"/>
        <v>S</v>
      </c>
    </row>
    <row r="272" spans="1:34" s="267" customFormat="1">
      <c r="A272" s="260"/>
      <c r="B272" s="261" t="s">
        <v>1276</v>
      </c>
      <c r="C272" s="262">
        <v>1989</v>
      </c>
      <c r="D272" s="263"/>
      <c r="E272" s="264" t="s">
        <v>49</v>
      </c>
      <c r="F272" s="265"/>
      <c r="G272" s="265"/>
      <c r="H272" s="265"/>
      <c r="I272" s="265"/>
      <c r="J272" s="266" t="s">
        <v>1013</v>
      </c>
      <c r="K272" s="266" t="s">
        <v>1002</v>
      </c>
      <c r="L272" s="265"/>
      <c r="M272" s="265"/>
      <c r="N272" s="265"/>
      <c r="O272" s="267" t="s">
        <v>1248</v>
      </c>
      <c r="P272" s="265"/>
      <c r="Q272" s="265"/>
      <c r="R272" s="267">
        <v>0.81299999999999994</v>
      </c>
      <c r="S272" s="265"/>
      <c r="T272" s="265"/>
      <c r="U272" s="265"/>
      <c r="V272" s="265"/>
      <c r="W272" s="265"/>
      <c r="X272" s="263">
        <f t="shared" si="13"/>
        <v>0.81299999999999994</v>
      </c>
      <c r="Y272" s="267">
        <v>7</v>
      </c>
      <c r="Z272" s="268" t="str">
        <f t="shared" si="14"/>
        <v>S</v>
      </c>
    </row>
    <row r="273" spans="1:34" s="267" customFormat="1">
      <c r="A273" s="260"/>
      <c r="B273" s="261" t="s">
        <v>1276</v>
      </c>
      <c r="C273" s="262">
        <v>1989</v>
      </c>
      <c r="D273" s="263"/>
      <c r="E273" s="264" t="s">
        <v>49</v>
      </c>
      <c r="F273" s="265"/>
      <c r="G273" s="265"/>
      <c r="H273" s="265"/>
      <c r="I273" s="265"/>
      <c r="J273" s="266" t="s">
        <v>1013</v>
      </c>
      <c r="K273" s="266" t="s">
        <v>1002</v>
      </c>
      <c r="L273" s="265"/>
      <c r="M273" s="265"/>
      <c r="N273" s="265"/>
      <c r="O273" s="267" t="s">
        <v>1251</v>
      </c>
      <c r="P273" s="265"/>
      <c r="Q273" s="265"/>
      <c r="R273" s="267">
        <v>0.80500000000000005</v>
      </c>
      <c r="S273" s="265"/>
      <c r="T273" s="265"/>
      <c r="U273" s="265"/>
      <c r="V273" s="265"/>
      <c r="W273" s="265"/>
      <c r="X273" s="263">
        <f t="shared" si="13"/>
        <v>0.80500000000000005</v>
      </c>
      <c r="Y273" s="267">
        <v>9</v>
      </c>
      <c r="Z273" s="268" t="str">
        <f t="shared" si="14"/>
        <v>S</v>
      </c>
    </row>
    <row r="274" spans="1:34" s="267" customFormat="1">
      <c r="A274" s="260"/>
      <c r="B274" s="261" t="s">
        <v>1276</v>
      </c>
      <c r="C274" s="262">
        <v>1989</v>
      </c>
      <c r="D274" s="263"/>
      <c r="E274" s="264" t="s">
        <v>49</v>
      </c>
      <c r="F274" s="265"/>
      <c r="G274" s="265"/>
      <c r="H274" s="265"/>
      <c r="I274" s="265"/>
      <c r="J274" s="266" t="s">
        <v>1013</v>
      </c>
      <c r="K274" s="266" t="s">
        <v>1002</v>
      </c>
      <c r="L274" s="265"/>
      <c r="M274" s="265"/>
      <c r="N274" s="265"/>
      <c r="O274" s="267" t="s">
        <v>1236</v>
      </c>
      <c r="P274" s="265"/>
      <c r="Q274" s="265"/>
      <c r="R274" s="267">
        <v>0.8</v>
      </c>
      <c r="S274" s="265"/>
      <c r="T274" s="265"/>
      <c r="U274" s="265"/>
      <c r="V274" s="265"/>
      <c r="W274" s="265"/>
      <c r="X274" s="263">
        <f t="shared" si="13"/>
        <v>0.8</v>
      </c>
      <c r="Y274" s="267">
        <v>6.7</v>
      </c>
      <c r="Z274" s="268" t="str">
        <f t="shared" si="14"/>
        <v>S</v>
      </c>
    </row>
    <row r="275" spans="1:34" s="267" customFormat="1">
      <c r="A275" s="260"/>
      <c r="B275" s="261" t="s">
        <v>1276</v>
      </c>
      <c r="C275" s="262">
        <v>1989</v>
      </c>
      <c r="D275" s="263"/>
      <c r="E275" s="264" t="s">
        <v>49</v>
      </c>
      <c r="F275" s="265"/>
      <c r="G275" s="265"/>
      <c r="H275" s="265"/>
      <c r="I275" s="265"/>
      <c r="J275" s="266" t="s">
        <v>1013</v>
      </c>
      <c r="K275" s="266" t="s">
        <v>1002</v>
      </c>
      <c r="L275" s="265"/>
      <c r="M275" s="265"/>
      <c r="N275" s="265"/>
      <c r="O275" s="267" t="s">
        <v>1241</v>
      </c>
      <c r="P275" s="265"/>
      <c r="Q275" s="265"/>
      <c r="R275" s="267">
        <v>0.79400000000000004</v>
      </c>
      <c r="S275" s="265"/>
      <c r="T275" s="265"/>
      <c r="U275" s="265"/>
      <c r="V275" s="265"/>
      <c r="W275" s="265"/>
      <c r="X275" s="263">
        <f t="shared" si="13"/>
        <v>0.79400000000000004</v>
      </c>
      <c r="Y275" s="267">
        <v>4.5999999999999996</v>
      </c>
      <c r="Z275" s="268" t="str">
        <f t="shared" si="14"/>
        <v>S</v>
      </c>
    </row>
    <row r="276" spans="1:34" s="267" customFormat="1">
      <c r="A276" s="260"/>
      <c r="B276" s="261" t="s">
        <v>1276</v>
      </c>
      <c r="C276" s="262">
        <v>1989</v>
      </c>
      <c r="D276" s="263"/>
      <c r="E276" s="264" t="s">
        <v>49</v>
      </c>
      <c r="F276" s="265"/>
      <c r="G276" s="265"/>
      <c r="H276" s="265"/>
      <c r="I276" s="265"/>
      <c r="J276" s="266" t="s">
        <v>1013</v>
      </c>
      <c r="K276" s="266" t="s">
        <v>1002</v>
      </c>
      <c r="L276" s="265"/>
      <c r="M276" s="265"/>
      <c r="N276" s="265"/>
      <c r="O276" s="267" t="s">
        <v>1243</v>
      </c>
      <c r="P276" s="265"/>
      <c r="Q276" s="265"/>
      <c r="R276" s="267">
        <v>0.78900000000000003</v>
      </c>
      <c r="S276" s="265"/>
      <c r="T276" s="265"/>
      <c r="U276" s="265"/>
      <c r="V276" s="265"/>
      <c r="W276" s="265"/>
      <c r="X276" s="263">
        <f t="shared" si="13"/>
        <v>0.78900000000000003</v>
      </c>
      <c r="Y276" s="267">
        <v>7.7</v>
      </c>
      <c r="Z276" s="268" t="str">
        <f t="shared" si="14"/>
        <v>S</v>
      </c>
    </row>
    <row r="277" spans="1:34" s="267" customFormat="1">
      <c r="A277" s="260"/>
      <c r="B277" s="261" t="s">
        <v>1276</v>
      </c>
      <c r="C277" s="262">
        <v>1989</v>
      </c>
      <c r="D277" s="263"/>
      <c r="E277" s="264" t="s">
        <v>49</v>
      </c>
      <c r="F277" s="265"/>
      <c r="G277" s="265"/>
      <c r="H277" s="265"/>
      <c r="I277" s="265"/>
      <c r="J277" s="266" t="s">
        <v>1013</v>
      </c>
      <c r="K277" s="266" t="s">
        <v>1002</v>
      </c>
      <c r="L277" s="265"/>
      <c r="M277" s="265"/>
      <c r="N277" s="265"/>
      <c r="O277" s="267" t="s">
        <v>1238</v>
      </c>
      <c r="P277" s="265"/>
      <c r="Q277" s="265"/>
      <c r="R277" s="267">
        <v>0.78400000000000003</v>
      </c>
      <c r="S277" s="265"/>
      <c r="T277" s="265"/>
      <c r="U277" s="265"/>
      <c r="V277" s="265"/>
      <c r="W277" s="265"/>
      <c r="X277" s="263">
        <f t="shared" si="13"/>
        <v>0.78400000000000003</v>
      </c>
      <c r="Y277" s="267">
        <v>7.2</v>
      </c>
      <c r="Z277" s="268" t="str">
        <f t="shared" si="14"/>
        <v>S</v>
      </c>
    </row>
    <row r="278" spans="1:34" s="267" customFormat="1">
      <c r="A278" s="260"/>
      <c r="B278" s="261" t="s">
        <v>1276</v>
      </c>
      <c r="C278" s="262">
        <v>1989</v>
      </c>
      <c r="D278" s="263"/>
      <c r="E278" s="264" t="s">
        <v>49</v>
      </c>
      <c r="F278" s="265"/>
      <c r="G278" s="265"/>
      <c r="H278" s="265"/>
      <c r="I278" s="265"/>
      <c r="J278" s="266" t="s">
        <v>1013</v>
      </c>
      <c r="K278" s="266" t="s">
        <v>1002</v>
      </c>
      <c r="L278" s="265"/>
      <c r="M278" s="265"/>
      <c r="N278" s="265"/>
      <c r="O278" s="267" t="s">
        <v>1242</v>
      </c>
      <c r="P278" s="265"/>
      <c r="Q278" s="265"/>
      <c r="R278" s="267">
        <v>0.77500000000000002</v>
      </c>
      <c r="S278" s="265"/>
      <c r="T278" s="265"/>
      <c r="U278" s="265"/>
      <c r="V278" s="265"/>
      <c r="W278" s="265"/>
      <c r="X278" s="263">
        <f t="shared" si="13"/>
        <v>0.77500000000000002</v>
      </c>
      <c r="Y278" s="267">
        <v>10.5</v>
      </c>
      <c r="Z278" s="268" t="str">
        <f t="shared" si="14"/>
        <v>S</v>
      </c>
    </row>
    <row r="279" spans="1:34" s="267" customFormat="1">
      <c r="A279" s="260"/>
      <c r="B279" s="261" t="s">
        <v>1276</v>
      </c>
      <c r="C279" s="262">
        <v>1989</v>
      </c>
      <c r="D279" s="263"/>
      <c r="E279" s="264" t="s">
        <v>49</v>
      </c>
      <c r="F279" s="265"/>
      <c r="G279" s="265"/>
      <c r="H279" s="265"/>
      <c r="I279" s="265"/>
      <c r="J279" s="266" t="s">
        <v>1013</v>
      </c>
      <c r="K279" s="266" t="s">
        <v>1002</v>
      </c>
      <c r="L279" s="265"/>
      <c r="M279" s="265"/>
      <c r="N279" s="265"/>
      <c r="O279" s="267" t="s">
        <v>1244</v>
      </c>
      <c r="P279" s="265"/>
      <c r="Q279" s="265"/>
      <c r="R279" s="267">
        <v>0.77500000000000002</v>
      </c>
      <c r="S279" s="265"/>
      <c r="T279" s="265"/>
      <c r="U279" s="265"/>
      <c r="V279" s="265"/>
      <c r="W279" s="265"/>
      <c r="X279" s="263">
        <f t="shared" si="13"/>
        <v>0.77500000000000002</v>
      </c>
      <c r="Y279" s="267">
        <v>8</v>
      </c>
      <c r="Z279" s="268" t="str">
        <f t="shared" si="14"/>
        <v>S</v>
      </c>
    </row>
    <row r="280" spans="1:34" s="267" customFormat="1">
      <c r="A280" s="260"/>
      <c r="B280" s="261" t="s">
        <v>1276</v>
      </c>
      <c r="C280" s="262">
        <v>1989</v>
      </c>
      <c r="D280" s="263"/>
      <c r="E280" s="264" t="s">
        <v>49</v>
      </c>
      <c r="F280" s="265"/>
      <c r="G280" s="265"/>
      <c r="H280" s="265"/>
      <c r="I280" s="265"/>
      <c r="J280" s="266" t="s">
        <v>1013</v>
      </c>
      <c r="K280" s="266" t="s">
        <v>1002</v>
      </c>
      <c r="L280" s="265"/>
      <c r="M280" s="265"/>
      <c r="N280" s="265"/>
      <c r="O280" s="267" t="s">
        <v>1237</v>
      </c>
      <c r="P280" s="265"/>
      <c r="Q280" s="265"/>
      <c r="R280" s="267">
        <v>0.77</v>
      </c>
      <c r="S280" s="265"/>
      <c r="T280" s="265"/>
      <c r="U280" s="265"/>
      <c r="V280" s="265"/>
      <c r="W280" s="265"/>
      <c r="X280" s="263">
        <f t="shared" si="13"/>
        <v>0.77</v>
      </c>
      <c r="Y280" s="267">
        <v>7.8</v>
      </c>
      <c r="Z280" s="268" t="str">
        <f t="shared" si="14"/>
        <v>S</v>
      </c>
    </row>
    <row r="281" spans="1:34" s="267" customFormat="1">
      <c r="A281" s="260"/>
      <c r="B281" s="261" t="s">
        <v>1276</v>
      </c>
      <c r="C281" s="262">
        <v>1989</v>
      </c>
      <c r="D281" s="263"/>
      <c r="E281" s="264" t="s">
        <v>49</v>
      </c>
      <c r="F281" s="265"/>
      <c r="G281" s="265"/>
      <c r="H281" s="265"/>
      <c r="I281" s="265"/>
      <c r="J281" s="266" t="s">
        <v>1013</v>
      </c>
      <c r="K281" s="266" t="s">
        <v>1002</v>
      </c>
      <c r="L281" s="265"/>
      <c r="M281" s="265"/>
      <c r="N281" s="265"/>
      <c r="O281" s="267" t="s">
        <v>1245</v>
      </c>
      <c r="P281" s="265"/>
      <c r="Q281" s="265"/>
      <c r="R281" s="267">
        <v>0.73</v>
      </c>
      <c r="S281" s="265"/>
      <c r="T281" s="265"/>
      <c r="U281" s="265"/>
      <c r="V281" s="265"/>
      <c r="W281" s="265"/>
      <c r="X281" s="263">
        <f t="shared" si="13"/>
        <v>0.73</v>
      </c>
      <c r="Y281" s="267">
        <v>6.6</v>
      </c>
      <c r="Z281" s="268" t="str">
        <f t="shared" si="14"/>
        <v>S</v>
      </c>
    </row>
    <row r="282" spans="1:34" s="267" customFormat="1">
      <c r="A282" s="260"/>
      <c r="B282" s="261" t="s">
        <v>1276</v>
      </c>
      <c r="C282" s="262">
        <v>1989</v>
      </c>
      <c r="D282" s="263"/>
      <c r="E282" s="264" t="s">
        <v>49</v>
      </c>
      <c r="F282" s="265"/>
      <c r="G282" s="265"/>
      <c r="H282" s="265"/>
      <c r="I282" s="265"/>
      <c r="J282" s="266" t="s">
        <v>1013</v>
      </c>
      <c r="K282" s="266" t="s">
        <v>1002</v>
      </c>
      <c r="L282" s="265"/>
      <c r="M282" s="265"/>
      <c r="N282" s="265"/>
      <c r="O282" s="267" t="s">
        <v>1246</v>
      </c>
      <c r="P282" s="265"/>
      <c r="Q282" s="265"/>
      <c r="R282" s="267">
        <v>0.72899999999999998</v>
      </c>
      <c r="S282" s="265"/>
      <c r="T282" s="265"/>
      <c r="U282" s="265"/>
      <c r="V282" s="265"/>
      <c r="W282" s="265"/>
      <c r="X282" s="263">
        <f t="shared" si="13"/>
        <v>0.72899999999999998</v>
      </c>
      <c r="Y282" s="267">
        <v>9.1</v>
      </c>
      <c r="Z282" s="268" t="str">
        <f t="shared" si="14"/>
        <v>S</v>
      </c>
    </row>
    <row r="283" spans="1:34" s="267" customFormat="1">
      <c r="A283" s="260"/>
      <c r="B283" s="261" t="s">
        <v>1276</v>
      </c>
      <c r="C283" s="262">
        <v>1989</v>
      </c>
      <c r="D283" s="263"/>
      <c r="E283" s="264" t="s">
        <v>49</v>
      </c>
      <c r="F283" s="265"/>
      <c r="G283" s="265"/>
      <c r="H283" s="265"/>
      <c r="I283" s="265"/>
      <c r="J283" s="266" t="s">
        <v>1013</v>
      </c>
      <c r="K283" s="266" t="s">
        <v>1002</v>
      </c>
      <c r="L283" s="265"/>
      <c r="M283" s="265"/>
      <c r="N283" s="265"/>
      <c r="O283" s="267" t="s">
        <v>1239</v>
      </c>
      <c r="P283" s="265"/>
      <c r="Q283" s="265"/>
      <c r="R283" s="267">
        <v>0.64300000000000002</v>
      </c>
      <c r="S283" s="265"/>
      <c r="T283" s="265"/>
      <c r="U283" s="265"/>
      <c r="V283" s="265"/>
      <c r="W283" s="265"/>
      <c r="X283" s="263">
        <f t="shared" si="13"/>
        <v>0.64300000000000002</v>
      </c>
      <c r="Y283" s="267">
        <v>1.8</v>
      </c>
      <c r="Z283" s="268" t="str">
        <f t="shared" si="14"/>
        <v>S</v>
      </c>
    </row>
    <row r="284" spans="1:34" s="217" customFormat="1">
      <c r="A284" s="210"/>
      <c r="B284" s="269" t="s">
        <v>1276</v>
      </c>
      <c r="C284" s="270">
        <v>1989</v>
      </c>
      <c r="D284" s="214"/>
      <c r="E284" s="211" t="s">
        <v>49</v>
      </c>
      <c r="F284" s="213"/>
      <c r="G284" s="213"/>
      <c r="H284" s="213"/>
      <c r="I284" s="213"/>
      <c r="J284" s="271" t="s">
        <v>1013</v>
      </c>
      <c r="K284" s="271" t="s">
        <v>1257</v>
      </c>
      <c r="L284" s="213"/>
      <c r="M284" s="213"/>
      <c r="N284" s="213"/>
      <c r="O284" s="217" t="s">
        <v>1268</v>
      </c>
      <c r="P284" s="213"/>
      <c r="Q284" s="213"/>
      <c r="R284" s="217">
        <v>0.95099999999999996</v>
      </c>
      <c r="S284" s="213"/>
      <c r="T284" s="213"/>
      <c r="U284" s="213"/>
      <c r="V284" s="213"/>
      <c r="W284" s="213"/>
      <c r="X284" s="214">
        <f t="shared" si="13"/>
        <v>0.95099999999999996</v>
      </c>
      <c r="Y284" s="217">
        <v>1</v>
      </c>
      <c r="Z284" s="215" t="str">
        <f t="shared" si="14"/>
        <v>F</v>
      </c>
      <c r="AA284" s="284"/>
      <c r="AB284" s="284" t="s">
        <v>1206</v>
      </c>
      <c r="AC284" s="284" t="s">
        <v>1207</v>
      </c>
      <c r="AD284" s="284" t="s">
        <v>1208</v>
      </c>
      <c r="AE284" s="284" t="s">
        <v>1209</v>
      </c>
      <c r="AF284" s="284" t="s">
        <v>1210</v>
      </c>
      <c r="AG284" s="284" t="s">
        <v>1211</v>
      </c>
    </row>
    <row r="285" spans="1:34" s="217" customFormat="1">
      <c r="A285" s="210"/>
      <c r="B285" s="269" t="s">
        <v>1276</v>
      </c>
      <c r="C285" s="270">
        <v>1989</v>
      </c>
      <c r="D285" s="214"/>
      <c r="E285" s="211" t="s">
        <v>49</v>
      </c>
      <c r="F285" s="213"/>
      <c r="G285" s="213"/>
      <c r="H285" s="213"/>
      <c r="I285" s="213"/>
      <c r="J285" s="271" t="s">
        <v>1013</v>
      </c>
      <c r="K285" s="271" t="s">
        <v>1257</v>
      </c>
      <c r="L285" s="213"/>
      <c r="M285" s="213"/>
      <c r="N285" s="213"/>
      <c r="O285" s="217" t="s">
        <v>1269</v>
      </c>
      <c r="P285" s="213"/>
      <c r="Q285" s="213"/>
      <c r="R285" s="217">
        <v>0.94699999999999995</v>
      </c>
      <c r="S285" s="213"/>
      <c r="T285" s="213"/>
      <c r="U285" s="213"/>
      <c r="V285" s="213"/>
      <c r="W285" s="213"/>
      <c r="X285" s="214">
        <f t="shared" si="13"/>
        <v>0.94699999999999995</v>
      </c>
      <c r="Y285" s="217">
        <v>0.9</v>
      </c>
      <c r="Z285" s="215" t="str">
        <f t="shared" si="14"/>
        <v>F</v>
      </c>
      <c r="AA285" s="238" t="s">
        <v>1392</v>
      </c>
      <c r="AB285" s="285">
        <f>AVERAGE($Y$284:$Y$292)</f>
        <v>5.5444444444444443</v>
      </c>
      <c r="AC285" s="285">
        <f>MEDIAN($Y$284:$Y$292)</f>
        <v>6.5</v>
      </c>
      <c r="AD285" s="285">
        <f>MAX($Y$284:$Y$292)</f>
        <v>10</v>
      </c>
      <c r="AE285" s="285">
        <f>MIN($Y$284:$Y$292)</f>
        <v>0.9</v>
      </c>
      <c r="AF285" s="285">
        <f>STDEV($Y$284:$Y$292)</f>
        <v>3.434789335283575</v>
      </c>
      <c r="AG285" s="284">
        <f>COUNT($Y$284:$Y$292)</f>
        <v>9</v>
      </c>
    </row>
    <row r="286" spans="1:34" s="217" customFormat="1">
      <c r="A286" s="210"/>
      <c r="B286" s="269" t="s">
        <v>1276</v>
      </c>
      <c r="C286" s="270">
        <v>1989</v>
      </c>
      <c r="D286" s="214"/>
      <c r="E286" s="211" t="s">
        <v>49</v>
      </c>
      <c r="F286" s="213"/>
      <c r="G286" s="213"/>
      <c r="H286" s="213"/>
      <c r="I286" s="213"/>
      <c r="J286" s="271" t="s">
        <v>1013</v>
      </c>
      <c r="K286" s="271" t="s">
        <v>1257</v>
      </c>
      <c r="L286" s="213"/>
      <c r="M286" s="213"/>
      <c r="N286" s="213"/>
      <c r="O286" s="217" t="s">
        <v>1267</v>
      </c>
      <c r="P286" s="213"/>
      <c r="Q286" s="213"/>
      <c r="R286" s="217">
        <v>0.92800000000000005</v>
      </c>
      <c r="S286" s="213"/>
      <c r="T286" s="213"/>
      <c r="U286" s="213"/>
      <c r="V286" s="213"/>
      <c r="W286" s="213"/>
      <c r="X286" s="214">
        <f t="shared" si="13"/>
        <v>0.92800000000000005</v>
      </c>
      <c r="Y286" s="217">
        <v>2.5</v>
      </c>
      <c r="Z286" s="215" t="str">
        <f t="shared" si="14"/>
        <v>F</v>
      </c>
      <c r="AA286" s="238" t="s">
        <v>1279</v>
      </c>
      <c r="AB286" s="285">
        <f>AVERAGE($Y$284:$Y$287)</f>
        <v>2.2250000000000001</v>
      </c>
      <c r="AC286" s="285">
        <f>MEDIAN($Y$284:$Y$287)</f>
        <v>1.75</v>
      </c>
      <c r="AD286" s="285">
        <f>MAX($Y$284:$Y$287)</f>
        <v>4.5</v>
      </c>
      <c r="AE286" s="285">
        <f>MIN($Y$284:$Y$287)</f>
        <v>0.9</v>
      </c>
      <c r="AF286" s="285">
        <f>STDEV($Y$284:$Y$287)</f>
        <v>1.6839932699786342</v>
      </c>
      <c r="AG286" s="284">
        <f>COUNT($Y$284:$Y$287)</f>
        <v>4</v>
      </c>
    </row>
    <row r="287" spans="1:34" s="217" customFormat="1">
      <c r="A287" s="210"/>
      <c r="B287" s="269" t="s">
        <v>1276</v>
      </c>
      <c r="C287" s="270">
        <v>1989</v>
      </c>
      <c r="D287" s="214"/>
      <c r="E287" s="211" t="s">
        <v>49</v>
      </c>
      <c r="F287" s="213"/>
      <c r="G287" s="213"/>
      <c r="H287" s="213"/>
      <c r="I287" s="213"/>
      <c r="J287" s="271" t="s">
        <v>1013</v>
      </c>
      <c r="K287" s="271" t="s">
        <v>1257</v>
      </c>
      <c r="L287" s="213"/>
      <c r="M287" s="213"/>
      <c r="N287" s="213"/>
      <c r="O287" s="217" t="s">
        <v>1274</v>
      </c>
      <c r="P287" s="213"/>
      <c r="Q287" s="213"/>
      <c r="R287" s="217">
        <v>0.9</v>
      </c>
      <c r="S287" s="213"/>
      <c r="T287" s="213"/>
      <c r="U287" s="213"/>
      <c r="V287" s="213"/>
      <c r="W287" s="213"/>
      <c r="X287" s="214">
        <f t="shared" si="13"/>
        <v>0.9</v>
      </c>
      <c r="Y287" s="217">
        <v>4.5</v>
      </c>
      <c r="Z287" s="215" t="str">
        <f t="shared" si="14"/>
        <v>F</v>
      </c>
      <c r="AA287" s="238" t="s">
        <v>1280</v>
      </c>
      <c r="AB287" s="285">
        <f>AVERAGE($Y$288:$Y$291)</f>
        <v>8.1</v>
      </c>
      <c r="AC287" s="285">
        <f>MEDIAN($Y$288:$Y$291)</f>
        <v>7.9499999999999993</v>
      </c>
      <c r="AD287" s="285">
        <f>MAX($Y$288:$Y$291)</f>
        <v>10</v>
      </c>
      <c r="AE287" s="285">
        <f>MIN($Y$288:$Y$291)</f>
        <v>6.5</v>
      </c>
      <c r="AF287" s="285">
        <f>STDEV($Y$288:$Y$291)</f>
        <v>1.4537308324904321</v>
      </c>
      <c r="AG287" s="284">
        <f>COUNT($Y$288:$Y$291)</f>
        <v>4</v>
      </c>
      <c r="AH287" s="217" t="s">
        <v>1312</v>
      </c>
    </row>
    <row r="288" spans="1:34" s="217" customFormat="1">
      <c r="A288" s="210"/>
      <c r="B288" s="269" t="s">
        <v>1276</v>
      </c>
      <c r="C288" s="270">
        <v>1989</v>
      </c>
      <c r="D288" s="214"/>
      <c r="E288" s="211" t="s">
        <v>49</v>
      </c>
      <c r="F288" s="213"/>
      <c r="G288" s="213"/>
      <c r="H288" s="213"/>
      <c r="I288" s="213"/>
      <c r="J288" s="271" t="s">
        <v>1013</v>
      </c>
      <c r="K288" s="271" t="s">
        <v>1257</v>
      </c>
      <c r="L288" s="213"/>
      <c r="M288" s="213"/>
      <c r="N288" s="213"/>
      <c r="O288" s="217" t="s">
        <v>1271</v>
      </c>
      <c r="P288" s="213"/>
      <c r="Q288" s="213"/>
      <c r="R288" s="217">
        <v>0.85399999999999998</v>
      </c>
      <c r="S288" s="213"/>
      <c r="T288" s="213"/>
      <c r="U288" s="213"/>
      <c r="V288" s="213"/>
      <c r="W288" s="213"/>
      <c r="X288" s="214">
        <f t="shared" si="13"/>
        <v>0.85399999999999998</v>
      </c>
      <c r="Y288" s="217">
        <v>7.7</v>
      </c>
      <c r="Z288" s="215" t="str">
        <f t="shared" si="14"/>
        <v>S</v>
      </c>
    </row>
    <row r="289" spans="1:34" s="217" customFormat="1">
      <c r="A289" s="210"/>
      <c r="B289" s="269" t="s">
        <v>1276</v>
      </c>
      <c r="C289" s="270">
        <v>1989</v>
      </c>
      <c r="D289" s="214"/>
      <c r="E289" s="211" t="s">
        <v>49</v>
      </c>
      <c r="F289" s="213"/>
      <c r="G289" s="213"/>
      <c r="H289" s="213"/>
      <c r="I289" s="213"/>
      <c r="J289" s="271" t="s">
        <v>1013</v>
      </c>
      <c r="K289" s="271" t="s">
        <v>1257</v>
      </c>
      <c r="L289" s="213"/>
      <c r="M289" s="213"/>
      <c r="N289" s="213"/>
      <c r="O289" s="217" t="s">
        <v>1275</v>
      </c>
      <c r="P289" s="213"/>
      <c r="Q289" s="213"/>
      <c r="R289" s="217">
        <v>0.84699999999999998</v>
      </c>
      <c r="S289" s="213"/>
      <c r="T289" s="213"/>
      <c r="U289" s="213"/>
      <c r="V289" s="213"/>
      <c r="W289" s="213"/>
      <c r="X289" s="214">
        <f t="shared" si="13"/>
        <v>0.84699999999999998</v>
      </c>
      <c r="Y289" s="217">
        <v>8.1999999999999993</v>
      </c>
      <c r="Z289" s="215" t="str">
        <f t="shared" si="14"/>
        <v>S</v>
      </c>
    </row>
    <row r="290" spans="1:34" s="217" customFormat="1">
      <c r="A290" s="210"/>
      <c r="B290" s="269" t="s">
        <v>1276</v>
      </c>
      <c r="C290" s="270">
        <v>1989</v>
      </c>
      <c r="D290" s="214"/>
      <c r="E290" s="211" t="s">
        <v>49</v>
      </c>
      <c r="F290" s="213"/>
      <c r="G290" s="213"/>
      <c r="H290" s="213"/>
      <c r="I290" s="213"/>
      <c r="J290" s="271" t="s">
        <v>1013</v>
      </c>
      <c r="K290" s="271" t="s">
        <v>1257</v>
      </c>
      <c r="L290" s="213"/>
      <c r="M290" s="213"/>
      <c r="N290" s="213"/>
      <c r="O290" s="217" t="s">
        <v>1273</v>
      </c>
      <c r="P290" s="213"/>
      <c r="Q290" s="213"/>
      <c r="R290" s="217">
        <v>0.84099999999999997</v>
      </c>
      <c r="S290" s="213"/>
      <c r="T290" s="213"/>
      <c r="U290" s="213"/>
      <c r="V290" s="213"/>
      <c r="W290" s="213"/>
      <c r="X290" s="214">
        <f t="shared" si="13"/>
        <v>0.84099999999999997</v>
      </c>
      <c r="Y290" s="217">
        <v>6.5</v>
      </c>
      <c r="Z290" s="215" t="str">
        <f t="shared" si="14"/>
        <v>S</v>
      </c>
    </row>
    <row r="291" spans="1:34" s="217" customFormat="1">
      <c r="A291" s="210"/>
      <c r="B291" s="269" t="s">
        <v>1276</v>
      </c>
      <c r="C291" s="270">
        <v>1989</v>
      </c>
      <c r="D291" s="214"/>
      <c r="E291" s="211" t="s">
        <v>49</v>
      </c>
      <c r="F291" s="213"/>
      <c r="G291" s="213"/>
      <c r="H291" s="213"/>
      <c r="I291" s="213"/>
      <c r="J291" s="271" t="s">
        <v>1013</v>
      </c>
      <c r="K291" s="271" t="s">
        <v>1257</v>
      </c>
      <c r="L291" s="213"/>
      <c r="M291" s="213"/>
      <c r="N291" s="213"/>
      <c r="O291" s="217" t="s">
        <v>1272</v>
      </c>
      <c r="P291" s="213"/>
      <c r="Q291" s="213"/>
      <c r="R291" s="217">
        <v>0.82199999999999995</v>
      </c>
      <c r="S291" s="213"/>
      <c r="T291" s="213"/>
      <c r="U291" s="213"/>
      <c r="V291" s="213"/>
      <c r="W291" s="213"/>
      <c r="X291" s="214">
        <f t="shared" si="13"/>
        <v>0.82199999999999995</v>
      </c>
      <c r="Y291" s="217">
        <v>10</v>
      </c>
      <c r="Z291" s="215" t="str">
        <f t="shared" si="14"/>
        <v>S</v>
      </c>
    </row>
    <row r="292" spans="1:34" s="217" customFormat="1">
      <c r="A292" s="210"/>
      <c r="B292" s="269" t="s">
        <v>1276</v>
      </c>
      <c r="C292" s="270">
        <v>1989</v>
      </c>
      <c r="D292" s="214"/>
      <c r="E292" s="211" t="s">
        <v>49</v>
      </c>
      <c r="F292" s="213"/>
      <c r="G292" s="213"/>
      <c r="H292" s="213"/>
      <c r="I292" s="213"/>
      <c r="J292" s="271" t="s">
        <v>1013</v>
      </c>
      <c r="K292" s="271" t="s">
        <v>1257</v>
      </c>
      <c r="L292" s="213"/>
      <c r="M292" s="213"/>
      <c r="N292" s="213"/>
      <c r="O292" s="217" t="s">
        <v>1270</v>
      </c>
      <c r="P292" s="213"/>
      <c r="Q292" s="213"/>
      <c r="R292" s="217">
        <v>0.79600000000000004</v>
      </c>
      <c r="S292" s="213"/>
      <c r="T292" s="213"/>
      <c r="U292" s="213"/>
      <c r="V292" s="213"/>
      <c r="W292" s="213"/>
      <c r="X292" s="214">
        <f t="shared" si="13"/>
        <v>0.79600000000000004</v>
      </c>
      <c r="Y292" s="217">
        <v>8.6</v>
      </c>
      <c r="Z292" s="215" t="str">
        <f t="shared" si="14"/>
        <v>S</v>
      </c>
    </row>
    <row r="293" spans="1:34" s="279" customFormat="1">
      <c r="A293" s="272"/>
      <c r="B293" s="273" t="s">
        <v>1276</v>
      </c>
      <c r="C293" s="274">
        <v>1989</v>
      </c>
      <c r="D293" s="275"/>
      <c r="E293" s="276" t="s">
        <v>49</v>
      </c>
      <c r="F293" s="277"/>
      <c r="G293" s="277"/>
      <c r="H293" s="277"/>
      <c r="I293" s="277"/>
      <c r="J293" s="278" t="s">
        <v>1013</v>
      </c>
      <c r="K293" s="278" t="s">
        <v>1256</v>
      </c>
      <c r="L293" s="277"/>
      <c r="M293" s="277"/>
      <c r="N293" s="277"/>
      <c r="O293" s="279" t="s">
        <v>1260</v>
      </c>
      <c r="P293" s="277"/>
      <c r="Q293" s="277"/>
      <c r="R293" s="279">
        <v>0.94099999999999995</v>
      </c>
      <c r="S293" s="277"/>
      <c r="T293" s="277"/>
      <c r="U293" s="277"/>
      <c r="V293" s="277"/>
      <c r="W293" s="277"/>
      <c r="X293" s="275">
        <f t="shared" si="13"/>
        <v>0.94099999999999995</v>
      </c>
      <c r="Y293" s="279">
        <v>1.1000000000000001</v>
      </c>
      <c r="Z293" s="280" t="str">
        <f t="shared" si="14"/>
        <v>F</v>
      </c>
      <c r="AA293" s="286"/>
      <c r="AB293" s="286" t="s">
        <v>1206</v>
      </c>
      <c r="AC293" s="286" t="s">
        <v>1207</v>
      </c>
      <c r="AD293" s="286" t="s">
        <v>1208</v>
      </c>
      <c r="AE293" s="286" t="s">
        <v>1209</v>
      </c>
      <c r="AF293" s="286" t="s">
        <v>1210</v>
      </c>
      <c r="AG293" s="286" t="s">
        <v>1211</v>
      </c>
    </row>
    <row r="294" spans="1:34" s="279" customFormat="1">
      <c r="A294" s="272"/>
      <c r="B294" s="273" t="s">
        <v>1276</v>
      </c>
      <c r="C294" s="274">
        <v>1989</v>
      </c>
      <c r="D294" s="275"/>
      <c r="E294" s="276" t="s">
        <v>49</v>
      </c>
      <c r="F294" s="277"/>
      <c r="G294" s="277"/>
      <c r="H294" s="277"/>
      <c r="I294" s="277"/>
      <c r="J294" s="278" t="s">
        <v>1013</v>
      </c>
      <c r="K294" s="278" t="s">
        <v>1256</v>
      </c>
      <c r="L294" s="277"/>
      <c r="M294" s="277"/>
      <c r="N294" s="277"/>
      <c r="O294" s="279" t="s">
        <v>1259</v>
      </c>
      <c r="P294" s="277"/>
      <c r="Q294" s="277"/>
      <c r="R294" s="279">
        <v>0.92500000000000004</v>
      </c>
      <c r="S294" s="277"/>
      <c r="T294" s="277"/>
      <c r="U294" s="277"/>
      <c r="V294" s="277"/>
      <c r="W294" s="277"/>
      <c r="X294" s="275">
        <f t="shared" si="13"/>
        <v>0.92500000000000004</v>
      </c>
      <c r="Y294" s="279">
        <v>1.5</v>
      </c>
      <c r="Z294" s="280" t="str">
        <f t="shared" si="14"/>
        <v>F</v>
      </c>
      <c r="AA294" s="287" t="s">
        <v>1393</v>
      </c>
      <c r="AB294" s="288">
        <f>AVERAGE($Y$293:$Y$301)</f>
        <v>4.2777777777777768</v>
      </c>
      <c r="AC294" s="288">
        <f>MEDIAN($Y$293:$Y$301)</f>
        <v>4.2</v>
      </c>
      <c r="AD294" s="288">
        <f>MAX($Y$293:$Y$301)</f>
        <v>8.1</v>
      </c>
      <c r="AE294" s="288">
        <f>MIN($Y$293:$Y$301)</f>
        <v>1.1000000000000001</v>
      </c>
      <c r="AF294" s="288">
        <f>STDEV($Y$293:$Y$301)</f>
        <v>2.5464572339712381</v>
      </c>
      <c r="AG294" s="286">
        <f>COUNT($Y$293:$Y$301)</f>
        <v>9</v>
      </c>
    </row>
    <row r="295" spans="1:34" s="279" customFormat="1">
      <c r="A295" s="272"/>
      <c r="B295" s="273" t="s">
        <v>1276</v>
      </c>
      <c r="C295" s="274">
        <v>1989</v>
      </c>
      <c r="D295" s="275"/>
      <c r="E295" s="276" t="s">
        <v>49</v>
      </c>
      <c r="F295" s="277"/>
      <c r="G295" s="277"/>
      <c r="H295" s="277"/>
      <c r="I295" s="277"/>
      <c r="J295" s="278" t="s">
        <v>1013</v>
      </c>
      <c r="K295" s="278" t="s">
        <v>1256</v>
      </c>
      <c r="L295" s="277"/>
      <c r="M295" s="277"/>
      <c r="N295" s="277"/>
      <c r="O295" s="279" t="s">
        <v>1258</v>
      </c>
      <c r="P295" s="277"/>
      <c r="Q295" s="277"/>
      <c r="R295" s="279">
        <v>0.91400000000000003</v>
      </c>
      <c r="S295" s="277"/>
      <c r="T295" s="277"/>
      <c r="U295" s="277"/>
      <c r="V295" s="277"/>
      <c r="W295" s="277"/>
      <c r="X295" s="275">
        <f t="shared" si="13"/>
        <v>0.91400000000000003</v>
      </c>
      <c r="Y295" s="279">
        <v>1.8</v>
      </c>
      <c r="Z295" s="280" t="str">
        <f t="shared" si="14"/>
        <v>F</v>
      </c>
      <c r="AA295" s="287" t="s">
        <v>1281</v>
      </c>
      <c r="AB295" s="288">
        <f>AVERAGE($Y$293:$Y$295)</f>
        <v>1.4666666666666668</v>
      </c>
      <c r="AC295" s="288">
        <f>MEDIAN($Y$293:$Y$295)</f>
        <v>1.5</v>
      </c>
      <c r="AD295" s="288">
        <f>MAX($Y$293:$Y$295)</f>
        <v>1.8</v>
      </c>
      <c r="AE295" s="288">
        <f>MIN($Y$293:$Y$295)</f>
        <v>1.1000000000000001</v>
      </c>
      <c r="AF295" s="288">
        <f>STDEV($Y$293:$Y$295)</f>
        <v>0.35118845842842428</v>
      </c>
      <c r="AG295" s="286">
        <f>COUNT($Y$293:$Y$295)</f>
        <v>3</v>
      </c>
    </row>
    <row r="296" spans="1:34" s="279" customFormat="1">
      <c r="A296" s="272"/>
      <c r="B296" s="273" t="s">
        <v>1276</v>
      </c>
      <c r="C296" s="274">
        <v>1989</v>
      </c>
      <c r="D296" s="275"/>
      <c r="E296" s="276" t="s">
        <v>49</v>
      </c>
      <c r="F296" s="277"/>
      <c r="G296" s="277"/>
      <c r="H296" s="277"/>
      <c r="I296" s="277"/>
      <c r="J296" s="278" t="s">
        <v>1013</v>
      </c>
      <c r="K296" s="278" t="s">
        <v>1256</v>
      </c>
      <c r="L296" s="277"/>
      <c r="M296" s="277"/>
      <c r="N296" s="277"/>
      <c r="O296" s="279" t="s">
        <v>1265</v>
      </c>
      <c r="P296" s="277"/>
      <c r="Q296" s="277"/>
      <c r="R296" s="279">
        <v>0.89300000000000002</v>
      </c>
      <c r="S296" s="277"/>
      <c r="T296" s="277"/>
      <c r="U296" s="277"/>
      <c r="V296" s="277"/>
      <c r="W296" s="277"/>
      <c r="X296" s="275">
        <f t="shared" si="13"/>
        <v>0.89300000000000002</v>
      </c>
      <c r="Y296" s="279">
        <v>3.6</v>
      </c>
      <c r="Z296" s="280" t="str">
        <f t="shared" si="14"/>
        <v>S</v>
      </c>
      <c r="AA296" s="287" t="s">
        <v>1282</v>
      </c>
      <c r="AB296" s="288">
        <f>AVERAGE($Y$296:$Y$300)</f>
        <v>5.2</v>
      </c>
      <c r="AC296" s="288">
        <f>MEDIAN($Y$296:$Y$300)</f>
        <v>4.5999999999999996</v>
      </c>
      <c r="AD296" s="288">
        <f>MAX($Y$296:$Y$300)</f>
        <v>6.9</v>
      </c>
      <c r="AE296" s="288">
        <f>MIN($Y$296:$Y$300)</f>
        <v>3.6</v>
      </c>
      <c r="AF296" s="288">
        <f>STDEV($Y$296:$Y$300)</f>
        <v>1.5049916943292414</v>
      </c>
      <c r="AG296" s="286">
        <f>COUNT($Y$296:$Y$300)</f>
        <v>5</v>
      </c>
      <c r="AH296" s="279" t="s">
        <v>1312</v>
      </c>
    </row>
    <row r="297" spans="1:34" s="279" customFormat="1">
      <c r="A297" s="272"/>
      <c r="B297" s="273" t="s">
        <v>1276</v>
      </c>
      <c r="C297" s="274">
        <v>1989</v>
      </c>
      <c r="D297" s="275"/>
      <c r="E297" s="276" t="s">
        <v>49</v>
      </c>
      <c r="F297" s="277"/>
      <c r="G297" s="277"/>
      <c r="H297" s="277"/>
      <c r="I297" s="277"/>
      <c r="J297" s="278" t="s">
        <v>1013</v>
      </c>
      <c r="K297" s="278" t="s">
        <v>1256</v>
      </c>
      <c r="L297" s="277"/>
      <c r="M297" s="277"/>
      <c r="N297" s="277"/>
      <c r="O297" s="279" t="s">
        <v>1266</v>
      </c>
      <c r="P297" s="277"/>
      <c r="Q297" s="277"/>
      <c r="R297" s="279">
        <v>0.88200000000000001</v>
      </c>
      <c r="S297" s="277"/>
      <c r="T297" s="277"/>
      <c r="U297" s="277"/>
      <c r="V297" s="277"/>
      <c r="W297" s="277"/>
      <c r="X297" s="275">
        <f t="shared" si="13"/>
        <v>0.88200000000000001</v>
      </c>
      <c r="Y297" s="279">
        <v>4.2</v>
      </c>
      <c r="Z297" s="280" t="str">
        <f t="shared" si="14"/>
        <v>S</v>
      </c>
    </row>
    <row r="298" spans="1:34" s="279" customFormat="1">
      <c r="A298" s="272"/>
      <c r="B298" s="273" t="s">
        <v>1276</v>
      </c>
      <c r="C298" s="274">
        <v>1989</v>
      </c>
      <c r="D298" s="275"/>
      <c r="E298" s="276" t="s">
        <v>49</v>
      </c>
      <c r="F298" s="277"/>
      <c r="G298" s="277"/>
      <c r="H298" s="277"/>
      <c r="I298" s="277"/>
      <c r="J298" s="278" t="s">
        <v>1013</v>
      </c>
      <c r="K298" s="278" t="s">
        <v>1256</v>
      </c>
      <c r="L298" s="277"/>
      <c r="M298" s="277"/>
      <c r="N298" s="277"/>
      <c r="O298" s="279" t="s">
        <v>1264</v>
      </c>
      <c r="P298" s="277"/>
      <c r="Q298" s="277"/>
      <c r="R298" s="279">
        <v>0.84199999999999997</v>
      </c>
      <c r="S298" s="277"/>
      <c r="T298" s="277"/>
      <c r="U298" s="277"/>
      <c r="V298" s="277"/>
      <c r="W298" s="277"/>
      <c r="X298" s="275">
        <f t="shared" si="13"/>
        <v>0.84199999999999997</v>
      </c>
      <c r="Y298" s="279">
        <v>4.5999999999999996</v>
      </c>
      <c r="Z298" s="280" t="str">
        <f t="shared" si="14"/>
        <v>S</v>
      </c>
    </row>
    <row r="299" spans="1:34" s="279" customFormat="1">
      <c r="A299" s="272"/>
      <c r="B299" s="273" t="s">
        <v>1276</v>
      </c>
      <c r="C299" s="274">
        <v>1989</v>
      </c>
      <c r="D299" s="275"/>
      <c r="E299" s="276" t="s">
        <v>49</v>
      </c>
      <c r="F299" s="277"/>
      <c r="G299" s="277"/>
      <c r="H299" s="277"/>
      <c r="I299" s="277"/>
      <c r="J299" s="278" t="s">
        <v>1013</v>
      </c>
      <c r="K299" s="278" t="s">
        <v>1256</v>
      </c>
      <c r="L299" s="277"/>
      <c r="M299" s="277"/>
      <c r="N299" s="277"/>
      <c r="O299" s="279" t="s">
        <v>1262</v>
      </c>
      <c r="P299" s="277"/>
      <c r="Q299" s="277"/>
      <c r="R299" s="279">
        <v>0.84099999999999997</v>
      </c>
      <c r="S299" s="277"/>
      <c r="T299" s="277"/>
      <c r="U299" s="277"/>
      <c r="V299" s="277"/>
      <c r="W299" s="277"/>
      <c r="X299" s="275">
        <f t="shared" si="13"/>
        <v>0.84099999999999997</v>
      </c>
      <c r="Y299" s="279">
        <v>6.9</v>
      </c>
      <c r="Z299" s="280" t="str">
        <f t="shared" si="14"/>
        <v>S</v>
      </c>
    </row>
    <row r="300" spans="1:34" s="279" customFormat="1">
      <c r="A300" s="272"/>
      <c r="B300" s="273" t="s">
        <v>1276</v>
      </c>
      <c r="C300" s="274">
        <v>1989</v>
      </c>
      <c r="D300" s="275"/>
      <c r="E300" s="276" t="s">
        <v>49</v>
      </c>
      <c r="F300" s="277"/>
      <c r="G300" s="277"/>
      <c r="H300" s="277"/>
      <c r="I300" s="277"/>
      <c r="J300" s="278" t="s">
        <v>1013</v>
      </c>
      <c r="K300" s="278" t="s">
        <v>1256</v>
      </c>
      <c r="L300" s="277"/>
      <c r="M300" s="277"/>
      <c r="N300" s="277"/>
      <c r="O300" s="279" t="s">
        <v>1263</v>
      </c>
      <c r="P300" s="277"/>
      <c r="Q300" s="277"/>
      <c r="R300" s="279">
        <v>0.83199999999999996</v>
      </c>
      <c r="S300" s="277"/>
      <c r="T300" s="277"/>
      <c r="U300" s="277"/>
      <c r="V300" s="277"/>
      <c r="W300" s="277"/>
      <c r="X300" s="275">
        <f t="shared" si="13"/>
        <v>0.83199999999999996</v>
      </c>
      <c r="Y300" s="279">
        <v>6.7</v>
      </c>
      <c r="Z300" s="280" t="str">
        <f t="shared" si="14"/>
        <v>S</v>
      </c>
    </row>
    <row r="301" spans="1:34" s="279" customFormat="1">
      <c r="A301" s="272"/>
      <c r="B301" s="273" t="s">
        <v>1276</v>
      </c>
      <c r="C301" s="274">
        <v>1989</v>
      </c>
      <c r="D301" s="275"/>
      <c r="E301" s="276" t="s">
        <v>49</v>
      </c>
      <c r="F301" s="277"/>
      <c r="G301" s="277"/>
      <c r="H301" s="277"/>
      <c r="I301" s="277"/>
      <c r="J301" s="278" t="s">
        <v>1013</v>
      </c>
      <c r="K301" s="278" t="s">
        <v>1256</v>
      </c>
      <c r="L301" s="277"/>
      <c r="M301" s="277"/>
      <c r="N301" s="277"/>
      <c r="O301" s="279" t="s">
        <v>1261</v>
      </c>
      <c r="P301" s="277"/>
      <c r="Q301" s="277"/>
      <c r="R301" s="279">
        <v>0.75600000000000001</v>
      </c>
      <c r="S301" s="277"/>
      <c r="T301" s="277"/>
      <c r="U301" s="277"/>
      <c r="V301" s="277"/>
      <c r="W301" s="277"/>
      <c r="X301" s="275">
        <f t="shared" si="13"/>
        <v>0.75600000000000001</v>
      </c>
      <c r="Y301" s="279">
        <v>8.1</v>
      </c>
      <c r="Z301" s="280" t="str">
        <f t="shared" si="14"/>
        <v>S</v>
      </c>
    </row>
    <row r="302" spans="1:34">
      <c r="A302" s="53">
        <v>121</v>
      </c>
      <c r="B302" s="65" t="s">
        <v>427</v>
      </c>
      <c r="C302" s="65">
        <v>2003</v>
      </c>
      <c r="D302" s="65" t="s">
        <v>428</v>
      </c>
      <c r="E302" s="56" t="s">
        <v>430</v>
      </c>
      <c r="F302" s="54">
        <v>2002</v>
      </c>
      <c r="G302" s="54" t="s">
        <v>439</v>
      </c>
      <c r="H302" s="54" t="s">
        <v>159</v>
      </c>
      <c r="I302" s="54"/>
      <c r="J302" s="54" t="s">
        <v>1051</v>
      </c>
      <c r="K302" s="54" t="s">
        <v>1139</v>
      </c>
      <c r="L302" s="54" t="s">
        <v>435</v>
      </c>
      <c r="M302" s="54" t="s">
        <v>725</v>
      </c>
      <c r="N302" s="54" t="s">
        <v>441</v>
      </c>
      <c r="O302" s="54" t="s">
        <v>446</v>
      </c>
      <c r="P302" s="54"/>
      <c r="Q302" s="54"/>
      <c r="R302" s="54"/>
      <c r="S302" s="54"/>
      <c r="T302" s="54"/>
      <c r="U302" s="54"/>
      <c r="V302" s="54"/>
      <c r="W302" s="54"/>
      <c r="X302" s="58" t="str">
        <f t="shared" si="10"/>
        <v/>
      </c>
      <c r="Y302" s="72">
        <v>8.1999999999999993</v>
      </c>
      <c r="Z302" s="63" t="str">
        <f t="shared" si="11"/>
        <v/>
      </c>
    </row>
    <row r="303" spans="1:34">
      <c r="A303" s="53">
        <v>121</v>
      </c>
      <c r="B303" s="65" t="s">
        <v>427</v>
      </c>
      <c r="C303" s="65">
        <v>2003</v>
      </c>
      <c r="D303" s="65" t="s">
        <v>428</v>
      </c>
      <c r="E303" s="56" t="s">
        <v>430</v>
      </c>
      <c r="F303" s="54">
        <v>2002</v>
      </c>
      <c r="G303" s="54" t="s">
        <v>439</v>
      </c>
      <c r="H303" s="54" t="s">
        <v>159</v>
      </c>
      <c r="I303" s="54"/>
      <c r="J303" s="54" t="s">
        <v>1051</v>
      </c>
      <c r="K303" s="54" t="s">
        <v>1139</v>
      </c>
      <c r="L303" s="54" t="s">
        <v>435</v>
      </c>
      <c r="M303" s="54" t="s">
        <v>725</v>
      </c>
      <c r="N303" s="54" t="s">
        <v>441</v>
      </c>
      <c r="O303" s="54" t="s">
        <v>442</v>
      </c>
      <c r="P303" s="54"/>
      <c r="Q303" s="54"/>
      <c r="R303" s="54"/>
      <c r="S303" s="54"/>
      <c r="T303" s="54"/>
      <c r="U303" s="54"/>
      <c r="V303" s="54"/>
      <c r="W303" s="54"/>
      <c r="X303" s="58" t="str">
        <f t="shared" si="10"/>
        <v/>
      </c>
      <c r="Y303" s="72">
        <v>10.4</v>
      </c>
      <c r="Z303" s="63" t="str">
        <f t="shared" si="11"/>
        <v/>
      </c>
    </row>
    <row r="304" spans="1:34">
      <c r="A304" s="53">
        <v>121</v>
      </c>
      <c r="B304" s="65" t="s">
        <v>427</v>
      </c>
      <c r="C304" s="65">
        <v>2003</v>
      </c>
      <c r="D304" s="65" t="s">
        <v>428</v>
      </c>
      <c r="E304" s="56" t="s">
        <v>430</v>
      </c>
      <c r="F304" s="54">
        <v>2002</v>
      </c>
      <c r="G304" s="54" t="s">
        <v>439</v>
      </c>
      <c r="H304" s="54" t="s">
        <v>159</v>
      </c>
      <c r="I304" s="54"/>
      <c r="J304" s="54" t="s">
        <v>1051</v>
      </c>
      <c r="K304" s="54" t="s">
        <v>1139</v>
      </c>
      <c r="L304" s="54" t="s">
        <v>435</v>
      </c>
      <c r="M304" s="54" t="s">
        <v>725</v>
      </c>
      <c r="N304" s="54" t="s">
        <v>441</v>
      </c>
      <c r="O304" s="54" t="s">
        <v>447</v>
      </c>
      <c r="P304" s="54"/>
      <c r="Q304" s="54"/>
      <c r="R304" s="54"/>
      <c r="S304" s="54"/>
      <c r="T304" s="54"/>
      <c r="U304" s="54"/>
      <c r="V304" s="54"/>
      <c r="W304" s="54"/>
      <c r="X304" s="58" t="str">
        <f t="shared" ref="X304:X379" si="15">IF(R304&lt;&gt;0,IF(R304&gt;1,R304/100,R304),IF(U304&lt;&gt;0,IF(U304&gt;1,U304/100,U304),""))</f>
        <v/>
      </c>
      <c r="Y304" s="72">
        <v>4</v>
      </c>
      <c r="Z304" s="63" t="str">
        <f t="shared" si="11"/>
        <v/>
      </c>
    </row>
    <row r="305" spans="1:33">
      <c r="A305" s="53">
        <v>121</v>
      </c>
      <c r="B305" s="65" t="s">
        <v>427</v>
      </c>
      <c r="C305" s="65">
        <v>2003</v>
      </c>
      <c r="D305" s="65" t="s">
        <v>428</v>
      </c>
      <c r="E305" s="56" t="s">
        <v>430</v>
      </c>
      <c r="F305" s="54">
        <v>2002</v>
      </c>
      <c r="G305" s="54" t="s">
        <v>431</v>
      </c>
      <c r="H305" s="54" t="s">
        <v>159</v>
      </c>
      <c r="I305" s="54"/>
      <c r="J305" s="54" t="s">
        <v>1051</v>
      </c>
      <c r="K305" s="54" t="s">
        <v>1052</v>
      </c>
      <c r="L305" s="54" t="s">
        <v>432</v>
      </c>
      <c r="M305" s="54" t="s">
        <v>1177</v>
      </c>
      <c r="N305" s="54" t="s">
        <v>1178</v>
      </c>
      <c r="O305" s="54" t="s">
        <v>433</v>
      </c>
      <c r="P305" s="54"/>
      <c r="Q305" s="54"/>
      <c r="R305" s="54"/>
      <c r="S305" s="54"/>
      <c r="T305" s="54"/>
      <c r="U305" s="54"/>
      <c r="V305" s="54"/>
      <c r="W305" s="54"/>
      <c r="X305" s="58" t="str">
        <f t="shared" si="15"/>
        <v/>
      </c>
      <c r="Y305" s="72">
        <v>7.4</v>
      </c>
      <c r="Z305" s="63" t="str">
        <f t="shared" si="11"/>
        <v/>
      </c>
    </row>
    <row r="306" spans="1:33" s="107" customFormat="1">
      <c r="A306" s="97">
        <v>174</v>
      </c>
      <c r="B306" s="98" t="s">
        <v>697</v>
      </c>
      <c r="C306" s="98">
        <v>2009</v>
      </c>
      <c r="D306" s="108" t="s">
        <v>698</v>
      </c>
      <c r="E306" s="99" t="s">
        <v>20</v>
      </c>
      <c r="F306" s="100" t="s">
        <v>701</v>
      </c>
      <c r="G306" s="98" t="s">
        <v>705</v>
      </c>
      <c r="H306" s="98" t="s">
        <v>159</v>
      </c>
      <c r="I306" s="98"/>
      <c r="J306" s="98" t="s">
        <v>1146</v>
      </c>
      <c r="K306" s="98" t="s">
        <v>1055</v>
      </c>
      <c r="L306" s="98" t="s">
        <v>755</v>
      </c>
      <c r="M306" s="109"/>
      <c r="N306" s="109"/>
      <c r="O306" s="98" t="s">
        <v>755</v>
      </c>
      <c r="P306" s="103"/>
      <c r="Q306" s="103"/>
      <c r="R306" s="98"/>
      <c r="S306" s="98"/>
      <c r="T306" s="98"/>
      <c r="U306" s="104">
        <v>0.86299999999999999</v>
      </c>
      <c r="V306" s="104"/>
      <c r="W306" s="104"/>
      <c r="X306" s="101">
        <f t="shared" si="15"/>
        <v>0.86299999999999999</v>
      </c>
      <c r="Y306" s="110">
        <v>4.2</v>
      </c>
      <c r="Z306" s="106" t="str">
        <f t="shared" si="11"/>
        <v>S</v>
      </c>
      <c r="AA306" s="149"/>
      <c r="AB306" s="150" t="s">
        <v>1179</v>
      </c>
      <c r="AC306" s="150" t="s">
        <v>1182</v>
      </c>
      <c r="AD306" s="150" t="s">
        <v>1183</v>
      </c>
      <c r="AE306" s="150" t="s">
        <v>1184</v>
      </c>
      <c r="AF306" s="150" t="s">
        <v>1190</v>
      </c>
      <c r="AG306" s="150" t="s">
        <v>1186</v>
      </c>
    </row>
    <row r="307" spans="1:33" s="107" customFormat="1">
      <c r="A307" s="97">
        <v>181</v>
      </c>
      <c r="B307" s="98" t="s">
        <v>766</v>
      </c>
      <c r="C307" s="98">
        <v>2009</v>
      </c>
      <c r="D307" s="112" t="s">
        <v>767</v>
      </c>
      <c r="E307" s="113" t="s">
        <v>49</v>
      </c>
      <c r="F307" s="114" t="s">
        <v>788</v>
      </c>
      <c r="G307" s="98" t="s">
        <v>789</v>
      </c>
      <c r="H307" s="115" t="s">
        <v>790</v>
      </c>
      <c r="I307" s="115"/>
      <c r="J307" s="115" t="s">
        <v>1146</v>
      </c>
      <c r="K307" s="115" t="s">
        <v>1152</v>
      </c>
      <c r="L307" s="114" t="s">
        <v>791</v>
      </c>
      <c r="M307" s="114" t="s">
        <v>414</v>
      </c>
      <c r="N307" s="114"/>
      <c r="O307" s="114" t="s">
        <v>871</v>
      </c>
      <c r="P307" s="114"/>
      <c r="Q307" s="114"/>
      <c r="R307" s="98"/>
      <c r="S307" s="98"/>
      <c r="T307" s="98"/>
      <c r="U307" s="114">
        <v>0.94799999999999995</v>
      </c>
      <c r="V307" s="116"/>
      <c r="W307" s="116"/>
      <c r="X307" s="101">
        <f t="shared" si="15"/>
        <v>0.94799999999999995</v>
      </c>
      <c r="Y307" s="117">
        <v>1.4973876610000001</v>
      </c>
      <c r="Z307" s="106" t="str">
        <f t="shared" si="11"/>
        <v>F</v>
      </c>
      <c r="AA307" s="150" t="s">
        <v>1359</v>
      </c>
      <c r="AB307" s="151">
        <f>AVERAGE($Y$306:$Y$313)</f>
        <v>1.9836458244999999</v>
      </c>
      <c r="AC307" s="151">
        <f>MEDIAN($Y$306:$Y$313)</f>
        <v>1.5118814785000001</v>
      </c>
      <c r="AD307" s="151">
        <f>MAX($Y$306:$Y$313)</f>
        <v>4.2</v>
      </c>
      <c r="AE307" s="151">
        <f>MIN($Y$306:$Y$313)</f>
        <v>1.065628987</v>
      </c>
      <c r="AF307" s="151">
        <f>STDEV($Y$306:$Y$313)</f>
        <v>1.0800061851629918</v>
      </c>
      <c r="AG307" s="307">
        <f>COUNT($Y$306:$Y$313)</f>
        <v>8</v>
      </c>
    </row>
    <row r="308" spans="1:33" s="107" customFormat="1">
      <c r="A308" s="97">
        <v>181</v>
      </c>
      <c r="B308" s="98" t="s">
        <v>766</v>
      </c>
      <c r="C308" s="98">
        <v>2009</v>
      </c>
      <c r="D308" s="112" t="s">
        <v>767</v>
      </c>
      <c r="E308" s="113" t="s">
        <v>49</v>
      </c>
      <c r="F308" s="114" t="s">
        <v>788</v>
      </c>
      <c r="G308" s="98" t="s">
        <v>789</v>
      </c>
      <c r="H308" s="115" t="s">
        <v>790</v>
      </c>
      <c r="I308" s="115"/>
      <c r="J308" s="115" t="s">
        <v>1146</v>
      </c>
      <c r="K308" s="115" t="s">
        <v>1152</v>
      </c>
      <c r="L308" s="114" t="s">
        <v>791</v>
      </c>
      <c r="M308" s="114" t="s">
        <v>414</v>
      </c>
      <c r="N308" s="114"/>
      <c r="O308" s="114" t="s">
        <v>792</v>
      </c>
      <c r="P308" s="114"/>
      <c r="Q308" s="114"/>
      <c r="R308" s="98"/>
      <c r="S308" s="98"/>
      <c r="T308" s="98"/>
      <c r="U308" s="114">
        <v>0.93300000000000005</v>
      </c>
      <c r="V308" s="116"/>
      <c r="W308" s="116"/>
      <c r="X308" s="101">
        <f t="shared" si="15"/>
        <v>0.93300000000000005</v>
      </c>
      <c r="Y308" s="117">
        <v>2.6777746520000001</v>
      </c>
      <c r="Z308" s="106" t="str">
        <f t="shared" si="11"/>
        <v>F</v>
      </c>
      <c r="AA308" s="150" t="s">
        <v>1360</v>
      </c>
      <c r="AB308" s="151">
        <f>AVERAGE($Y$307:$Y$313)</f>
        <v>1.6670237994285715</v>
      </c>
      <c r="AC308" s="151">
        <f>MEDIAN($Y$307:$Y$313)</f>
        <v>1.4973876610000001</v>
      </c>
      <c r="AD308" s="151">
        <f>MAX($Y$307:$Y$313)</f>
        <v>2.6777746520000001</v>
      </c>
      <c r="AE308" s="151">
        <f>MIN($Y$307:$Y$313)</f>
        <v>1.065628987</v>
      </c>
      <c r="AF308" s="151">
        <f>STDEV($Y$307:$Y$313)</f>
        <v>0.65203797708334132</v>
      </c>
      <c r="AG308" s="307">
        <f>COUNT($Y$307:$Y$313)</f>
        <v>7</v>
      </c>
    </row>
    <row r="309" spans="1:33" s="107" customFormat="1">
      <c r="A309" s="97">
        <v>181</v>
      </c>
      <c r="B309" s="98" t="s">
        <v>766</v>
      </c>
      <c r="C309" s="98">
        <v>2009</v>
      </c>
      <c r="D309" s="112" t="s">
        <v>767</v>
      </c>
      <c r="E309" s="113" t="s">
        <v>49</v>
      </c>
      <c r="F309" s="114" t="s">
        <v>788</v>
      </c>
      <c r="G309" s="98" t="s">
        <v>838</v>
      </c>
      <c r="H309" s="115" t="s">
        <v>790</v>
      </c>
      <c r="I309" s="115"/>
      <c r="J309" s="115" t="s">
        <v>1146</v>
      </c>
      <c r="K309" s="115" t="s">
        <v>1152</v>
      </c>
      <c r="L309" s="114" t="s">
        <v>791</v>
      </c>
      <c r="M309" s="114" t="s">
        <v>414</v>
      </c>
      <c r="N309" s="114"/>
      <c r="O309" s="114" t="s">
        <v>839</v>
      </c>
      <c r="P309" s="114"/>
      <c r="Q309" s="114"/>
      <c r="R309" s="98"/>
      <c r="S309" s="98"/>
      <c r="T309" s="98"/>
      <c r="U309" s="114">
        <v>0.95</v>
      </c>
      <c r="V309" s="116"/>
      <c r="W309" s="116"/>
      <c r="X309" s="101">
        <f t="shared" si="15"/>
        <v>0.95</v>
      </c>
      <c r="Y309" s="117">
        <v>1.5263752960000001</v>
      </c>
      <c r="Z309" s="106" t="str">
        <f t="shared" si="11"/>
        <v>F</v>
      </c>
      <c r="AA309" s="150" t="s">
        <v>1361</v>
      </c>
      <c r="AB309" s="151">
        <f>+$Y$306</f>
        <v>4.2</v>
      </c>
      <c r="AC309" s="151"/>
      <c r="AD309" s="151"/>
      <c r="AE309" s="151"/>
      <c r="AF309" s="151"/>
      <c r="AG309" s="307">
        <f>COUNT($Y$306)</f>
        <v>1</v>
      </c>
    </row>
    <row r="310" spans="1:33" s="107" customFormat="1">
      <c r="A310" s="97">
        <v>181</v>
      </c>
      <c r="B310" s="98" t="s">
        <v>766</v>
      </c>
      <c r="C310" s="98">
        <v>2009</v>
      </c>
      <c r="D310" s="112" t="s">
        <v>767</v>
      </c>
      <c r="E310" s="113" t="s">
        <v>49</v>
      </c>
      <c r="F310" s="114" t="s">
        <v>788</v>
      </c>
      <c r="G310" s="98" t="s">
        <v>853</v>
      </c>
      <c r="H310" s="115" t="s">
        <v>790</v>
      </c>
      <c r="I310" s="115"/>
      <c r="J310" s="115" t="s">
        <v>1146</v>
      </c>
      <c r="K310" s="115" t="s">
        <v>1152</v>
      </c>
      <c r="L310" s="114" t="s">
        <v>791</v>
      </c>
      <c r="M310" s="114" t="s">
        <v>414</v>
      </c>
      <c r="N310" s="114"/>
      <c r="O310" s="114" t="s">
        <v>874</v>
      </c>
      <c r="P310" s="114"/>
      <c r="Q310" s="114"/>
      <c r="R310" s="98"/>
      <c r="S310" s="98"/>
      <c r="T310" s="98"/>
      <c r="U310" s="114">
        <v>0.96199999999999997</v>
      </c>
      <c r="V310" s="116"/>
      <c r="W310" s="116"/>
      <c r="X310" s="101">
        <f t="shared" si="15"/>
        <v>0.96199999999999997</v>
      </c>
      <c r="Y310" s="117">
        <v>1.065628987</v>
      </c>
      <c r="Z310" s="106" t="str">
        <f t="shared" si="11"/>
        <v>F</v>
      </c>
    </row>
    <row r="311" spans="1:33" s="107" customFormat="1">
      <c r="A311" s="97">
        <v>118</v>
      </c>
      <c r="B311" s="123" t="s">
        <v>399</v>
      </c>
      <c r="C311" s="98">
        <v>1999</v>
      </c>
      <c r="D311" s="123" t="s">
        <v>400</v>
      </c>
      <c r="E311" s="99" t="s">
        <v>20</v>
      </c>
      <c r="F311" s="98">
        <v>1999</v>
      </c>
      <c r="G311" s="98" t="s">
        <v>326</v>
      </c>
      <c r="H311" s="98" t="s">
        <v>159</v>
      </c>
      <c r="I311" s="98"/>
      <c r="J311" s="101" t="s">
        <v>1146</v>
      </c>
      <c r="K311" s="98" t="s">
        <v>1055</v>
      </c>
      <c r="L311" s="98" t="s">
        <v>404</v>
      </c>
      <c r="M311" s="98"/>
      <c r="N311" s="98"/>
      <c r="O311" s="98">
        <v>11</v>
      </c>
      <c r="P311" s="98"/>
      <c r="Q311" s="98"/>
      <c r="R311" s="98"/>
      <c r="S311" s="98"/>
      <c r="T311" s="98"/>
      <c r="U311" s="98">
        <v>0.97</v>
      </c>
      <c r="V311" s="98"/>
      <c r="W311" s="98"/>
      <c r="X311" s="101">
        <f t="shared" si="15"/>
        <v>0.97</v>
      </c>
      <c r="Y311" s="111">
        <v>1.129</v>
      </c>
      <c r="Z311" s="106" t="str">
        <f t="shared" si="11"/>
        <v>F</v>
      </c>
    </row>
    <row r="312" spans="1:33" s="107" customFormat="1">
      <c r="A312" s="97">
        <v>118</v>
      </c>
      <c r="B312" s="123" t="s">
        <v>399</v>
      </c>
      <c r="C312" s="98">
        <v>1999</v>
      </c>
      <c r="D312" s="123" t="s">
        <v>400</v>
      </c>
      <c r="E312" s="99" t="s">
        <v>20</v>
      </c>
      <c r="F312" s="98">
        <v>1999</v>
      </c>
      <c r="G312" s="98" t="s">
        <v>326</v>
      </c>
      <c r="H312" s="98" t="s">
        <v>159</v>
      </c>
      <c r="I312" s="98"/>
      <c r="J312" s="101" t="s">
        <v>1146</v>
      </c>
      <c r="K312" s="98" t="s">
        <v>1055</v>
      </c>
      <c r="L312" s="98" t="s">
        <v>404</v>
      </c>
      <c r="M312" s="98"/>
      <c r="N312" s="98"/>
      <c r="O312" s="98">
        <v>12</v>
      </c>
      <c r="P312" s="98"/>
      <c r="Q312" s="98"/>
      <c r="R312" s="98"/>
      <c r="S312" s="98"/>
      <c r="T312" s="98"/>
      <c r="U312" s="98">
        <v>0.96</v>
      </c>
      <c r="V312" s="98"/>
      <c r="W312" s="98"/>
      <c r="X312" s="101">
        <f t="shared" si="15"/>
        <v>0.96</v>
      </c>
      <c r="Y312" s="111">
        <v>1.2809999999999999</v>
      </c>
      <c r="Z312" s="106" t="str">
        <f t="shared" si="11"/>
        <v>F</v>
      </c>
    </row>
    <row r="313" spans="1:33" s="107" customFormat="1">
      <c r="A313" s="97">
        <v>118</v>
      </c>
      <c r="B313" s="123" t="s">
        <v>399</v>
      </c>
      <c r="C313" s="98">
        <v>1999</v>
      </c>
      <c r="D313" s="123" t="s">
        <v>400</v>
      </c>
      <c r="E313" s="99" t="s">
        <v>20</v>
      </c>
      <c r="F313" s="98">
        <v>1999</v>
      </c>
      <c r="G313" s="98" t="s">
        <v>326</v>
      </c>
      <c r="H313" s="98" t="s">
        <v>159</v>
      </c>
      <c r="I313" s="98"/>
      <c r="J313" s="101" t="s">
        <v>1146</v>
      </c>
      <c r="K313" s="98" t="s">
        <v>1055</v>
      </c>
      <c r="L313" s="98" t="s">
        <v>404</v>
      </c>
      <c r="M313" s="98"/>
      <c r="N313" s="98"/>
      <c r="O313" s="98">
        <v>2</v>
      </c>
      <c r="P313" s="98"/>
      <c r="Q313" s="98"/>
      <c r="R313" s="98"/>
      <c r="S313" s="98"/>
      <c r="T313" s="98"/>
      <c r="U313" s="98">
        <v>0.96</v>
      </c>
      <c r="V313" s="98"/>
      <c r="W313" s="98"/>
      <c r="X313" s="101">
        <f t="shared" si="15"/>
        <v>0.96</v>
      </c>
      <c r="Y313" s="111">
        <v>2.492</v>
      </c>
      <c r="Z313" s="106" t="str">
        <f t="shared" si="11"/>
        <v>F</v>
      </c>
    </row>
    <row r="314" spans="1:33">
      <c r="A314" s="53">
        <v>121</v>
      </c>
      <c r="B314" s="65" t="s">
        <v>427</v>
      </c>
      <c r="C314" s="65">
        <v>2003</v>
      </c>
      <c r="D314" s="65" t="s">
        <v>428</v>
      </c>
      <c r="E314" s="56" t="s">
        <v>430</v>
      </c>
      <c r="F314" s="54">
        <v>2002</v>
      </c>
      <c r="G314" s="54" t="s">
        <v>452</v>
      </c>
      <c r="H314" s="54" t="s">
        <v>159</v>
      </c>
      <c r="I314" s="54"/>
      <c r="J314" s="54" t="s">
        <v>1062</v>
      </c>
      <c r="K314" s="54" t="s">
        <v>1141</v>
      </c>
      <c r="L314" s="54" t="s">
        <v>453</v>
      </c>
      <c r="M314" s="54" t="s">
        <v>454</v>
      </c>
      <c r="N314" s="59" t="s">
        <v>455</v>
      </c>
      <c r="O314" s="54" t="s">
        <v>456</v>
      </c>
      <c r="P314" s="54"/>
      <c r="Q314" s="54"/>
      <c r="R314" s="54"/>
      <c r="S314" s="54"/>
      <c r="T314" s="54"/>
      <c r="U314" s="54"/>
      <c r="V314" s="54"/>
      <c r="W314" s="54"/>
      <c r="X314" s="58" t="str">
        <f t="shared" si="15"/>
        <v/>
      </c>
      <c r="Y314" s="72">
        <v>16.2</v>
      </c>
      <c r="Z314" s="63" t="str">
        <f t="shared" si="11"/>
        <v/>
      </c>
      <c r="AA314" s="153"/>
      <c r="AB314" s="154" t="s">
        <v>1179</v>
      </c>
      <c r="AC314" s="154" t="s">
        <v>1182</v>
      </c>
      <c r="AD314" s="154" t="s">
        <v>1183</v>
      </c>
      <c r="AE314" s="154" t="s">
        <v>1184</v>
      </c>
      <c r="AF314" s="154" t="s">
        <v>1190</v>
      </c>
      <c r="AG314" s="154" t="s">
        <v>1186</v>
      </c>
    </row>
    <row r="315" spans="1:33">
      <c r="A315" s="53">
        <v>173</v>
      </c>
      <c r="B315" s="54" t="s">
        <v>585</v>
      </c>
      <c r="C315" s="54">
        <v>2011</v>
      </c>
      <c r="D315" s="55" t="s">
        <v>636</v>
      </c>
      <c r="E315" s="56" t="s">
        <v>638</v>
      </c>
      <c r="F315" s="57" t="s">
        <v>677</v>
      </c>
      <c r="G315" s="54" t="s">
        <v>678</v>
      </c>
      <c r="H315" s="54" t="s">
        <v>581</v>
      </c>
      <c r="I315" s="54"/>
      <c r="J315" s="58" t="s">
        <v>1062</v>
      </c>
      <c r="K315" s="54" t="s">
        <v>1078</v>
      </c>
      <c r="L315" s="54" t="s">
        <v>679</v>
      </c>
      <c r="M315" s="59"/>
      <c r="N315" s="59"/>
      <c r="O315" s="54" t="s">
        <v>680</v>
      </c>
      <c r="P315" s="60"/>
      <c r="Q315" s="60"/>
      <c r="R315" s="54"/>
      <c r="S315" s="54"/>
      <c r="T315" s="54"/>
      <c r="U315" s="61">
        <v>0.94</v>
      </c>
      <c r="V315" s="61"/>
      <c r="W315" s="61"/>
      <c r="X315" s="58">
        <f t="shared" si="15"/>
        <v>0.94</v>
      </c>
      <c r="Y315" s="71">
        <v>3.23</v>
      </c>
      <c r="Z315" s="63" t="str">
        <f t="shared" si="11"/>
        <v>F</v>
      </c>
      <c r="AA315" s="152" t="s">
        <v>1362</v>
      </c>
      <c r="AB315" s="155">
        <f>AVERAGE($Y$314:$Y$343)</f>
        <v>5.7857295631333328</v>
      </c>
      <c r="AC315" s="155">
        <f>MEDIAN($Y$314:$Y$343)</f>
        <v>6</v>
      </c>
      <c r="AD315" s="155">
        <f>MAX($Y$314:$Y$343)</f>
        <v>18.5</v>
      </c>
      <c r="AE315" s="155">
        <f>MIN($Y$314:$Y$343)</f>
        <v>0.66100000000000003</v>
      </c>
      <c r="AF315" s="155">
        <f>STDEV($Y$314:$Y$343)</f>
        <v>4.3201308008678048</v>
      </c>
      <c r="AG315" s="152">
        <f>COUNT($Y$314:$Y$343)</f>
        <v>30</v>
      </c>
    </row>
    <row r="316" spans="1:33">
      <c r="A316" s="53">
        <v>172</v>
      </c>
      <c r="B316" s="54" t="s">
        <v>585</v>
      </c>
      <c r="C316" s="54">
        <v>2010</v>
      </c>
      <c r="D316" s="54" t="s">
        <v>586</v>
      </c>
      <c r="E316" s="56" t="s">
        <v>589</v>
      </c>
      <c r="F316" s="57">
        <v>40225</v>
      </c>
      <c r="G316" s="54" t="s">
        <v>608</v>
      </c>
      <c r="H316" s="54" t="s">
        <v>581</v>
      </c>
      <c r="I316" s="54"/>
      <c r="J316" s="66" t="s">
        <v>1062</v>
      </c>
      <c r="K316" s="54" t="s">
        <v>1064</v>
      </c>
      <c r="L316" s="54" t="s">
        <v>611</v>
      </c>
      <c r="M316" s="88" t="s">
        <v>612</v>
      </c>
      <c r="N316" s="88" t="s">
        <v>613</v>
      </c>
      <c r="O316" s="54"/>
      <c r="P316" s="60"/>
      <c r="Q316" s="60"/>
      <c r="R316" s="54"/>
      <c r="S316" s="54"/>
      <c r="T316" s="54"/>
      <c r="U316" s="60">
        <v>0.97099999999999997</v>
      </c>
      <c r="V316" s="61"/>
      <c r="W316" s="61"/>
      <c r="X316" s="58">
        <f t="shared" si="15"/>
        <v>0.97099999999999997</v>
      </c>
      <c r="Y316" s="89">
        <v>0.66100000000000003</v>
      </c>
      <c r="Z316" s="63" t="str">
        <f t="shared" si="11"/>
        <v>F</v>
      </c>
      <c r="AA316" s="152" t="s">
        <v>1308</v>
      </c>
      <c r="AB316" s="155">
        <f>AVERAGE($Y$315:$Y$326)</f>
        <v>1.8893239078333333</v>
      </c>
      <c r="AC316" s="155">
        <f>MEDIAN($Y$315:$Y$326)</f>
        <v>1.750558635</v>
      </c>
      <c r="AD316" s="155">
        <f>MAX($Y$315:$Y$326)</f>
        <v>3.23</v>
      </c>
      <c r="AE316" s="155">
        <f>MIN($Y$315:$Y$326)</f>
        <v>0.66100000000000003</v>
      </c>
      <c r="AF316" s="155">
        <f>STDEV($Y$315:$Y$326)</f>
        <v>0.889219951751275</v>
      </c>
      <c r="AG316" s="242">
        <f>COUNT($Y$315:$Y$326)</f>
        <v>12</v>
      </c>
    </row>
    <row r="317" spans="1:33">
      <c r="A317" s="53">
        <v>181</v>
      </c>
      <c r="B317" s="54" t="s">
        <v>766</v>
      </c>
      <c r="C317" s="54">
        <v>2009</v>
      </c>
      <c r="D317" s="83" t="s">
        <v>767</v>
      </c>
      <c r="E317" s="84" t="s">
        <v>49</v>
      </c>
      <c r="F317" s="85" t="s">
        <v>788</v>
      </c>
      <c r="G317" s="54" t="s">
        <v>853</v>
      </c>
      <c r="H317" s="74" t="s">
        <v>790</v>
      </c>
      <c r="I317" s="74"/>
      <c r="J317" s="74" t="s">
        <v>1062</v>
      </c>
      <c r="K317" s="74" t="s">
        <v>1064</v>
      </c>
      <c r="L317" s="85" t="s">
        <v>782</v>
      </c>
      <c r="M317" s="85" t="s">
        <v>611</v>
      </c>
      <c r="N317" s="85"/>
      <c r="O317" s="85" t="s">
        <v>854</v>
      </c>
      <c r="P317" s="85"/>
      <c r="Q317" s="85"/>
      <c r="R317" s="54"/>
      <c r="S317" s="54"/>
      <c r="T317" s="54"/>
      <c r="U317" s="85">
        <v>0.95299999999999996</v>
      </c>
      <c r="V317" s="86"/>
      <c r="W317" s="86"/>
      <c r="X317" s="58">
        <f t="shared" si="15"/>
        <v>0.95299999999999996</v>
      </c>
      <c r="Y317" s="87">
        <v>1.5011172699999999</v>
      </c>
      <c r="Z317" s="63" t="str">
        <f t="shared" si="11"/>
        <v>F</v>
      </c>
      <c r="AA317" s="152" t="s">
        <v>1309</v>
      </c>
      <c r="AB317" s="155">
        <f>AVERAGE($Y$327:$Y$343)</f>
        <v>7.9235294117647053</v>
      </c>
      <c r="AC317" s="155">
        <f>MEDIAN($Y$327:$Y$343)</f>
        <v>7.4</v>
      </c>
      <c r="AD317" s="155">
        <f>MAX($Y$327:$Y$343)</f>
        <v>18.5</v>
      </c>
      <c r="AE317" s="155">
        <f>MIN($Y$327:$Y$343)</f>
        <v>3.3</v>
      </c>
      <c r="AF317" s="155">
        <f>STDEV($Y$327:$Y$343)</f>
        <v>3.2036169815859541</v>
      </c>
      <c r="AG317" s="152">
        <f>COUNT($Y$327:$Y$343)</f>
        <v>17</v>
      </c>
    </row>
    <row r="318" spans="1:33">
      <c r="A318" s="53">
        <v>172</v>
      </c>
      <c r="B318" s="54" t="s">
        <v>585</v>
      </c>
      <c r="C318" s="54">
        <v>2010</v>
      </c>
      <c r="D318" s="54" t="s">
        <v>586</v>
      </c>
      <c r="E318" s="56" t="s">
        <v>589</v>
      </c>
      <c r="F318" s="57">
        <v>40226</v>
      </c>
      <c r="G318" s="54" t="s">
        <v>608</v>
      </c>
      <c r="H318" s="54" t="s">
        <v>581</v>
      </c>
      <c r="I318" s="54"/>
      <c r="J318" s="66" t="s">
        <v>1062</v>
      </c>
      <c r="K318" s="54" t="s">
        <v>1063</v>
      </c>
      <c r="L318" s="54" t="s">
        <v>614</v>
      </c>
      <c r="M318" s="88" t="s">
        <v>612</v>
      </c>
      <c r="N318" s="88" t="s">
        <v>615</v>
      </c>
      <c r="O318" s="54"/>
      <c r="P318" s="60"/>
      <c r="Q318" s="60"/>
      <c r="R318" s="54"/>
      <c r="S318" s="54"/>
      <c r="T318" s="54"/>
      <c r="U318" s="60">
        <v>0.96499999999999997</v>
      </c>
      <c r="V318" s="61"/>
      <c r="W318" s="61"/>
      <c r="X318" s="58">
        <f t="shared" si="15"/>
        <v>0.96499999999999997</v>
      </c>
      <c r="Y318" s="89">
        <v>1.095</v>
      </c>
      <c r="Z318" s="63" t="str">
        <f t="shared" si="11"/>
        <v>F</v>
      </c>
      <c r="AF318" s="45"/>
    </row>
    <row r="319" spans="1:33">
      <c r="A319" s="53">
        <v>181</v>
      </c>
      <c r="B319" s="54" t="s">
        <v>766</v>
      </c>
      <c r="C319" s="54">
        <v>2009</v>
      </c>
      <c r="D319" s="83" t="s">
        <v>767</v>
      </c>
      <c r="E319" s="84" t="s">
        <v>49</v>
      </c>
      <c r="F319" s="85" t="s">
        <v>841</v>
      </c>
      <c r="G319" s="54" t="s">
        <v>842</v>
      </c>
      <c r="H319" s="74" t="s">
        <v>790</v>
      </c>
      <c r="I319" s="74"/>
      <c r="J319" s="74" t="s">
        <v>1062</v>
      </c>
      <c r="K319" s="74" t="s">
        <v>1063</v>
      </c>
      <c r="L319" s="85" t="s">
        <v>782</v>
      </c>
      <c r="M319" s="85" t="s">
        <v>855</v>
      </c>
      <c r="N319" s="85"/>
      <c r="O319" s="85" t="s">
        <v>856</v>
      </c>
      <c r="P319" s="85"/>
      <c r="Q319" s="85"/>
      <c r="R319" s="54"/>
      <c r="S319" s="54"/>
      <c r="T319" s="54"/>
      <c r="U319" s="85">
        <v>0.93600000000000005</v>
      </c>
      <c r="V319" s="86"/>
      <c r="W319" s="86"/>
      <c r="X319" s="58">
        <f t="shared" si="15"/>
        <v>0.93600000000000005</v>
      </c>
      <c r="Y319" s="87">
        <v>2.2847696239999999</v>
      </c>
      <c r="Z319" s="63" t="str">
        <f t="shared" si="11"/>
        <v>F</v>
      </c>
      <c r="AF319" s="45"/>
    </row>
    <row r="320" spans="1:33">
      <c r="A320" s="53"/>
      <c r="B320" s="290" t="s">
        <v>1276</v>
      </c>
      <c r="C320" s="291">
        <v>1989</v>
      </c>
      <c r="D320" s="66"/>
      <c r="E320" s="60" t="s">
        <v>49</v>
      </c>
      <c r="F320" s="85"/>
      <c r="G320" s="54"/>
      <c r="H320" s="74"/>
      <c r="I320" s="74"/>
      <c r="J320" s="257" t="s">
        <v>1062</v>
      </c>
      <c r="K320" s="257" t="s">
        <v>1283</v>
      </c>
      <c r="L320" s="85"/>
      <c r="M320" s="85"/>
      <c r="N320" s="85"/>
      <c r="O320" t="s">
        <v>1284</v>
      </c>
      <c r="P320" s="85"/>
      <c r="Q320" s="85"/>
      <c r="R320">
        <v>0.94299999999999995</v>
      </c>
      <c r="S320" s="54"/>
      <c r="T320" s="54"/>
      <c r="U320" s="85"/>
      <c r="V320" s="86"/>
      <c r="W320" s="86"/>
      <c r="X320" s="58">
        <f t="shared" si="15"/>
        <v>0.94299999999999995</v>
      </c>
      <c r="Y320">
        <v>1.2</v>
      </c>
      <c r="Z320" s="63" t="str">
        <f t="shared" si="11"/>
        <v>F</v>
      </c>
      <c r="AF320" s="45"/>
    </row>
    <row r="321" spans="1:32">
      <c r="A321" s="53"/>
      <c r="B321" s="290" t="s">
        <v>1276</v>
      </c>
      <c r="C321" s="291">
        <v>1989</v>
      </c>
      <c r="D321" s="66"/>
      <c r="E321" s="60" t="s">
        <v>49</v>
      </c>
      <c r="F321" s="85"/>
      <c r="G321" s="54"/>
      <c r="H321" s="74"/>
      <c r="I321" s="74"/>
      <c r="J321" s="257" t="s">
        <v>1062</v>
      </c>
      <c r="K321" s="257" t="s">
        <v>1283</v>
      </c>
      <c r="L321" s="85"/>
      <c r="M321" s="85"/>
      <c r="N321" s="85"/>
      <c r="O321" t="s">
        <v>1285</v>
      </c>
      <c r="P321" s="85"/>
      <c r="Q321" s="85"/>
      <c r="R321">
        <v>0.90900000000000003</v>
      </c>
      <c r="S321" s="54"/>
      <c r="T321" s="54"/>
      <c r="U321" s="85"/>
      <c r="V321" s="86"/>
      <c r="W321" s="86"/>
      <c r="X321" s="58">
        <f t="shared" si="15"/>
        <v>0.90900000000000003</v>
      </c>
      <c r="Y321">
        <v>2</v>
      </c>
      <c r="Z321" s="63" t="str">
        <f t="shared" si="11"/>
        <v>F</v>
      </c>
      <c r="AF321" s="45"/>
    </row>
    <row r="322" spans="1:32">
      <c r="A322" s="53"/>
      <c r="B322" s="290" t="s">
        <v>1276</v>
      </c>
      <c r="C322" s="291">
        <v>1989</v>
      </c>
      <c r="D322" s="66"/>
      <c r="E322" s="60" t="s">
        <v>49</v>
      </c>
      <c r="F322" s="85"/>
      <c r="G322" s="54"/>
      <c r="H322" s="74"/>
      <c r="I322" s="74"/>
      <c r="J322" s="257" t="s">
        <v>1062</v>
      </c>
      <c r="K322" s="257" t="s">
        <v>1283</v>
      </c>
      <c r="L322" s="85"/>
      <c r="M322" s="85"/>
      <c r="N322" s="85"/>
      <c r="O322" t="s">
        <v>1286</v>
      </c>
      <c r="P322" s="85"/>
      <c r="Q322" s="85"/>
      <c r="R322">
        <v>0.94599999999999995</v>
      </c>
      <c r="S322" s="54"/>
      <c r="T322" s="54"/>
      <c r="U322" s="85"/>
      <c r="V322" s="86"/>
      <c r="W322" s="86"/>
      <c r="X322" s="58">
        <f t="shared" si="15"/>
        <v>0.94599999999999995</v>
      </c>
      <c r="Y322">
        <v>1.1000000000000001</v>
      </c>
      <c r="Z322" s="63" t="str">
        <f t="shared" si="11"/>
        <v>F</v>
      </c>
      <c r="AF322" s="45"/>
    </row>
    <row r="323" spans="1:32">
      <c r="A323" s="53"/>
      <c r="B323" s="290" t="s">
        <v>1276</v>
      </c>
      <c r="C323" s="291">
        <v>1989</v>
      </c>
      <c r="D323" s="66"/>
      <c r="E323" s="60" t="s">
        <v>49</v>
      </c>
      <c r="F323" s="85"/>
      <c r="G323" s="54"/>
      <c r="H323" s="74"/>
      <c r="I323" s="74"/>
      <c r="J323" s="257" t="s">
        <v>1062</v>
      </c>
      <c r="K323" s="257" t="s">
        <v>1283</v>
      </c>
      <c r="L323" s="85"/>
      <c r="M323" s="85"/>
      <c r="N323" s="85"/>
      <c r="O323" t="s">
        <v>1287</v>
      </c>
      <c r="P323" s="85"/>
      <c r="Q323" s="85"/>
      <c r="R323">
        <v>0.94</v>
      </c>
      <c r="S323" s="54"/>
      <c r="T323" s="54"/>
      <c r="U323" s="85"/>
      <c r="V323" s="86"/>
      <c r="W323" s="86"/>
      <c r="X323" s="58">
        <f t="shared" si="15"/>
        <v>0.94</v>
      </c>
      <c r="Y323">
        <v>1.3</v>
      </c>
      <c r="Z323" s="63" t="str">
        <f t="shared" si="11"/>
        <v>F</v>
      </c>
      <c r="AF323" s="45"/>
    </row>
    <row r="324" spans="1:32">
      <c r="A324" s="53"/>
      <c r="B324" s="290" t="s">
        <v>1276</v>
      </c>
      <c r="C324" s="291">
        <v>1989</v>
      </c>
      <c r="D324" s="66"/>
      <c r="E324" s="60" t="s">
        <v>49</v>
      </c>
      <c r="F324" s="85"/>
      <c r="G324" s="54"/>
      <c r="H324" s="74"/>
      <c r="I324" s="74"/>
      <c r="J324" s="257" t="s">
        <v>1062</v>
      </c>
      <c r="K324" s="257" t="s">
        <v>1283</v>
      </c>
      <c r="L324" s="85"/>
      <c r="M324" s="85"/>
      <c r="N324" s="85"/>
      <c r="O324" t="s">
        <v>1288</v>
      </c>
      <c r="P324" s="85"/>
      <c r="Q324" s="85"/>
      <c r="R324">
        <v>0.91200000000000003</v>
      </c>
      <c r="S324" s="54"/>
      <c r="T324" s="54"/>
      <c r="U324" s="85"/>
      <c r="V324" s="86"/>
      <c r="W324" s="86"/>
      <c r="X324" s="58">
        <f t="shared" si="15"/>
        <v>0.91200000000000003</v>
      </c>
      <c r="Y324">
        <v>3</v>
      </c>
      <c r="Z324" s="63" t="str">
        <f t="shared" si="11"/>
        <v>F</v>
      </c>
      <c r="AF324" s="45"/>
    </row>
    <row r="325" spans="1:32">
      <c r="A325" s="53"/>
      <c r="B325" s="290" t="s">
        <v>1276</v>
      </c>
      <c r="C325" s="291">
        <v>1989</v>
      </c>
      <c r="D325" s="66"/>
      <c r="E325" s="60" t="s">
        <v>49</v>
      </c>
      <c r="F325" s="85"/>
      <c r="G325" s="54"/>
      <c r="H325" s="74"/>
      <c r="I325" s="74"/>
      <c r="J325" s="257" t="s">
        <v>1062</v>
      </c>
      <c r="K325" s="257" t="s">
        <v>1283</v>
      </c>
      <c r="L325" s="85"/>
      <c r="M325" s="85"/>
      <c r="N325" s="85"/>
      <c r="O325" t="s">
        <v>1290</v>
      </c>
      <c r="P325" s="85"/>
      <c r="Q325" s="85"/>
      <c r="R325">
        <v>0.91900000000000004</v>
      </c>
      <c r="S325" s="54"/>
      <c r="T325" s="54"/>
      <c r="U325" s="85"/>
      <c r="V325" s="86"/>
      <c r="W325" s="86"/>
      <c r="X325" s="58">
        <f t="shared" si="15"/>
        <v>0.91900000000000004</v>
      </c>
      <c r="Y325">
        <v>3.2</v>
      </c>
      <c r="Z325" s="63" t="str">
        <f t="shared" si="11"/>
        <v>F</v>
      </c>
      <c r="AF325" s="45"/>
    </row>
    <row r="326" spans="1:32">
      <c r="A326" s="53"/>
      <c r="B326" s="290" t="s">
        <v>1276</v>
      </c>
      <c r="C326" s="291">
        <v>1989</v>
      </c>
      <c r="D326" s="66"/>
      <c r="E326" s="60" t="s">
        <v>49</v>
      </c>
      <c r="F326" s="85"/>
      <c r="G326" s="54"/>
      <c r="H326" s="74"/>
      <c r="I326" s="74"/>
      <c r="J326" s="257" t="s">
        <v>1062</v>
      </c>
      <c r="K326" s="257" t="s">
        <v>1283</v>
      </c>
      <c r="L326" s="85"/>
      <c r="M326" s="85"/>
      <c r="N326" s="85"/>
      <c r="O326" t="s">
        <v>1291</v>
      </c>
      <c r="P326" s="85"/>
      <c r="Q326" s="85"/>
      <c r="R326">
        <v>0.93200000000000005</v>
      </c>
      <c r="S326" s="54"/>
      <c r="T326" s="54"/>
      <c r="U326" s="85"/>
      <c r="V326" s="86"/>
      <c r="W326" s="86"/>
      <c r="X326" s="58">
        <f t="shared" si="15"/>
        <v>0.93200000000000005</v>
      </c>
      <c r="Y326">
        <v>2.1</v>
      </c>
      <c r="Z326" s="63" t="str">
        <f t="shared" si="11"/>
        <v>F</v>
      </c>
      <c r="AF326" s="45"/>
    </row>
    <row r="327" spans="1:32">
      <c r="A327" s="53"/>
      <c r="B327" s="290" t="s">
        <v>1276</v>
      </c>
      <c r="C327" s="291">
        <v>1989</v>
      </c>
      <c r="D327" s="66"/>
      <c r="E327" s="60" t="s">
        <v>49</v>
      </c>
      <c r="F327" s="85"/>
      <c r="G327" s="54"/>
      <c r="H327" s="74"/>
      <c r="I327" s="74"/>
      <c r="J327" s="257" t="s">
        <v>1062</v>
      </c>
      <c r="K327" s="257" t="s">
        <v>1283</v>
      </c>
      <c r="L327" s="85"/>
      <c r="M327" s="85"/>
      <c r="N327" s="85"/>
      <c r="O327" t="s">
        <v>1289</v>
      </c>
      <c r="P327" s="85"/>
      <c r="Q327" s="85"/>
      <c r="R327">
        <v>0.88700000000000001</v>
      </c>
      <c r="S327" s="54"/>
      <c r="T327" s="54"/>
      <c r="U327" s="85"/>
      <c r="V327" s="86"/>
      <c r="W327" s="86"/>
      <c r="X327" s="58">
        <f>IF(R327&lt;&gt;0,IF(R327&gt;1,R327/100,R327),IF(U327&lt;&gt;0,IF(U327&gt;1,U327/100,U327),""))</f>
        <v>0.88700000000000001</v>
      </c>
      <c r="Y327">
        <v>3.3</v>
      </c>
      <c r="Z327" s="63" t="str">
        <f>IF(X327&lt;&gt;"",IF(X327&lt;0.9,"S","F"),"")</f>
        <v>S</v>
      </c>
      <c r="AF327" s="45"/>
    </row>
    <row r="328" spans="1:32">
      <c r="A328" s="53"/>
      <c r="B328" s="290" t="s">
        <v>1276</v>
      </c>
      <c r="C328" s="291">
        <v>1989</v>
      </c>
      <c r="D328" s="66"/>
      <c r="E328" s="60" t="s">
        <v>49</v>
      </c>
      <c r="F328" s="85"/>
      <c r="G328" s="54"/>
      <c r="H328" s="74"/>
      <c r="I328" s="74"/>
      <c r="J328" s="257" t="s">
        <v>1062</v>
      </c>
      <c r="K328" s="257" t="s">
        <v>1283</v>
      </c>
      <c r="L328" s="85"/>
      <c r="M328" s="85"/>
      <c r="N328" s="85"/>
      <c r="O328" t="s">
        <v>1292</v>
      </c>
      <c r="P328" s="85"/>
      <c r="Q328" s="85"/>
      <c r="R328">
        <v>0.79900000000000004</v>
      </c>
      <c r="S328" s="54"/>
      <c r="T328" s="54"/>
      <c r="U328" s="85"/>
      <c r="V328" s="86"/>
      <c r="W328" s="86"/>
      <c r="X328" s="58">
        <f t="shared" si="15"/>
        <v>0.79900000000000004</v>
      </c>
      <c r="Y328">
        <v>8.6</v>
      </c>
      <c r="Z328" s="63" t="str">
        <f t="shared" si="11"/>
        <v>S</v>
      </c>
      <c r="AF328" s="45"/>
    </row>
    <row r="329" spans="1:32">
      <c r="A329" s="53"/>
      <c r="B329" s="290" t="s">
        <v>1276</v>
      </c>
      <c r="C329" s="291">
        <v>1989</v>
      </c>
      <c r="D329" s="66"/>
      <c r="E329" s="60" t="s">
        <v>49</v>
      </c>
      <c r="F329" s="85"/>
      <c r="G329" s="54"/>
      <c r="H329" s="74"/>
      <c r="I329" s="74"/>
      <c r="J329" s="257" t="s">
        <v>1062</v>
      </c>
      <c r="K329" s="257" t="s">
        <v>1283</v>
      </c>
      <c r="L329" s="85"/>
      <c r="M329" s="85"/>
      <c r="N329" s="85"/>
      <c r="O329" t="s">
        <v>1293</v>
      </c>
      <c r="P329" s="85"/>
      <c r="Q329" s="85"/>
      <c r="R329">
        <v>0.81100000000000005</v>
      </c>
      <c r="S329" s="54"/>
      <c r="T329" s="54"/>
      <c r="U329" s="85"/>
      <c r="V329" s="86"/>
      <c r="W329" s="86"/>
      <c r="X329" s="58">
        <f t="shared" si="15"/>
        <v>0.81100000000000005</v>
      </c>
      <c r="Y329">
        <v>6.2</v>
      </c>
      <c r="Z329" s="63" t="str">
        <f t="shared" si="11"/>
        <v>S</v>
      </c>
      <c r="AF329" s="45"/>
    </row>
    <row r="330" spans="1:32">
      <c r="A330" s="53"/>
      <c r="B330" s="290" t="s">
        <v>1276</v>
      </c>
      <c r="C330" s="291">
        <v>1989</v>
      </c>
      <c r="D330" s="66"/>
      <c r="E330" s="60" t="s">
        <v>49</v>
      </c>
      <c r="F330" s="85"/>
      <c r="G330" s="54"/>
      <c r="H330" s="74"/>
      <c r="I330" s="74"/>
      <c r="J330" s="257" t="s">
        <v>1062</v>
      </c>
      <c r="K330" s="257" t="s">
        <v>1283</v>
      </c>
      <c r="L330" s="85"/>
      <c r="M330" s="85"/>
      <c r="N330" s="85"/>
      <c r="O330" t="s">
        <v>1294</v>
      </c>
      <c r="P330" s="85"/>
      <c r="Q330" s="85"/>
      <c r="R330">
        <v>0.8</v>
      </c>
      <c r="S330" s="54"/>
      <c r="T330" s="54"/>
      <c r="U330" s="85"/>
      <c r="V330" s="86"/>
      <c r="W330" s="86"/>
      <c r="X330" s="58">
        <f t="shared" si="15"/>
        <v>0.8</v>
      </c>
      <c r="Y330">
        <v>10</v>
      </c>
      <c r="Z330" s="63" t="str">
        <f t="shared" si="11"/>
        <v>S</v>
      </c>
      <c r="AF330" s="45"/>
    </row>
    <row r="331" spans="1:32">
      <c r="A331" s="53"/>
      <c r="B331" s="290" t="s">
        <v>1276</v>
      </c>
      <c r="C331" s="291">
        <v>1989</v>
      </c>
      <c r="D331" s="66"/>
      <c r="E331" s="60" t="s">
        <v>49</v>
      </c>
      <c r="F331" s="85"/>
      <c r="G331" s="54"/>
      <c r="H331" s="74"/>
      <c r="I331" s="74"/>
      <c r="J331" s="257" t="s">
        <v>1062</v>
      </c>
      <c r="K331" s="257" t="s">
        <v>1283</v>
      </c>
      <c r="L331" s="85"/>
      <c r="M331" s="85"/>
      <c r="N331" s="85"/>
      <c r="O331" t="s">
        <v>1295</v>
      </c>
      <c r="P331" s="85"/>
      <c r="Q331" s="85"/>
      <c r="R331">
        <v>0.8</v>
      </c>
      <c r="S331" s="54"/>
      <c r="T331" s="54"/>
      <c r="U331" s="85"/>
      <c r="V331" s="86"/>
      <c r="W331" s="86"/>
      <c r="X331" s="58">
        <f t="shared" si="15"/>
        <v>0.8</v>
      </c>
      <c r="Y331">
        <v>8.8000000000000007</v>
      </c>
      <c r="Z331" s="63" t="str">
        <f t="shared" si="11"/>
        <v>S</v>
      </c>
      <c r="AF331" s="45"/>
    </row>
    <row r="332" spans="1:32">
      <c r="A332" s="53"/>
      <c r="B332" s="290" t="s">
        <v>1276</v>
      </c>
      <c r="C332" s="291">
        <v>1989</v>
      </c>
      <c r="D332" s="66"/>
      <c r="E332" s="60" t="s">
        <v>49</v>
      </c>
      <c r="F332" s="85"/>
      <c r="G332" s="54"/>
      <c r="H332" s="74"/>
      <c r="I332" s="74"/>
      <c r="J332" s="257" t="s">
        <v>1062</v>
      </c>
      <c r="K332" s="257" t="s">
        <v>1283</v>
      </c>
      <c r="L332" s="85"/>
      <c r="M332" s="85"/>
      <c r="N332" s="85"/>
      <c r="O332" t="s">
        <v>1296</v>
      </c>
      <c r="P332" s="85"/>
      <c r="Q332" s="85"/>
      <c r="R332">
        <v>0.81200000000000006</v>
      </c>
      <c r="S332" s="54"/>
      <c r="T332" s="54"/>
      <c r="U332" s="85"/>
      <c r="V332" s="86"/>
      <c r="W332" s="86"/>
      <c r="X332" s="58">
        <f t="shared" si="15"/>
        <v>0.81200000000000006</v>
      </c>
      <c r="Y332">
        <v>7.9</v>
      </c>
      <c r="Z332" s="63" t="str">
        <f t="shared" si="11"/>
        <v>S</v>
      </c>
      <c r="AF332" s="45"/>
    </row>
    <row r="333" spans="1:32">
      <c r="A333" s="53"/>
      <c r="B333" s="290" t="s">
        <v>1276</v>
      </c>
      <c r="C333" s="291">
        <v>1989</v>
      </c>
      <c r="D333" s="66"/>
      <c r="E333" s="60" t="s">
        <v>49</v>
      </c>
      <c r="F333" s="85"/>
      <c r="G333" s="54"/>
      <c r="H333" s="74"/>
      <c r="I333" s="74"/>
      <c r="J333" s="257" t="s">
        <v>1062</v>
      </c>
      <c r="K333" s="257" t="s">
        <v>1283</v>
      </c>
      <c r="L333" s="85"/>
      <c r="M333" s="85"/>
      <c r="N333" s="85"/>
      <c r="O333" t="s">
        <v>1297</v>
      </c>
      <c r="P333" s="85"/>
      <c r="Q333" s="85"/>
      <c r="R333" s="289">
        <v>0.59899999999999998</v>
      </c>
      <c r="S333" s="54"/>
      <c r="T333" s="54"/>
      <c r="U333" s="85"/>
      <c r="V333" s="86"/>
      <c r="W333" s="86"/>
      <c r="X333" s="58">
        <f t="shared" si="15"/>
        <v>0.59899999999999998</v>
      </c>
      <c r="Y333" s="289">
        <v>18.5</v>
      </c>
      <c r="Z333" s="63" t="str">
        <f t="shared" si="11"/>
        <v>S</v>
      </c>
      <c r="AF333" s="45"/>
    </row>
    <row r="334" spans="1:32">
      <c r="A334" s="53"/>
      <c r="B334" s="290" t="s">
        <v>1276</v>
      </c>
      <c r="C334" s="291">
        <v>1989</v>
      </c>
      <c r="D334" s="66"/>
      <c r="E334" s="60" t="s">
        <v>49</v>
      </c>
      <c r="F334" s="85"/>
      <c r="G334" s="54"/>
      <c r="H334" s="74"/>
      <c r="I334" s="74"/>
      <c r="J334" s="257" t="s">
        <v>1062</v>
      </c>
      <c r="K334" s="257" t="s">
        <v>1283</v>
      </c>
      <c r="L334" s="85"/>
      <c r="M334" s="85"/>
      <c r="N334" s="85"/>
      <c r="O334" t="s">
        <v>1298</v>
      </c>
      <c r="P334" s="85"/>
      <c r="Q334" s="85"/>
      <c r="R334">
        <v>0.79900000000000004</v>
      </c>
      <c r="S334" s="54"/>
      <c r="T334" s="54"/>
      <c r="U334" s="85"/>
      <c r="V334" s="86"/>
      <c r="W334" s="86"/>
      <c r="X334" s="58">
        <f t="shared" si="15"/>
        <v>0.79900000000000004</v>
      </c>
      <c r="Y334">
        <v>9.3000000000000007</v>
      </c>
      <c r="Z334" s="63" t="str">
        <f t="shared" si="11"/>
        <v>S</v>
      </c>
      <c r="AF334" s="45"/>
    </row>
    <row r="335" spans="1:32">
      <c r="A335" s="53"/>
      <c r="B335" s="290" t="s">
        <v>1276</v>
      </c>
      <c r="C335" s="291">
        <v>1989</v>
      </c>
      <c r="D335" s="66"/>
      <c r="E335" s="60" t="s">
        <v>49</v>
      </c>
      <c r="F335" s="85"/>
      <c r="G335" s="54"/>
      <c r="H335" s="74"/>
      <c r="I335" s="74"/>
      <c r="J335" s="257" t="s">
        <v>1062</v>
      </c>
      <c r="K335" s="257" t="s">
        <v>1283</v>
      </c>
      <c r="L335" s="85"/>
      <c r="M335" s="85"/>
      <c r="N335" s="85"/>
      <c r="O335" t="s">
        <v>1299</v>
      </c>
      <c r="P335" s="85"/>
      <c r="Q335" s="85"/>
      <c r="R335">
        <v>0.79500000000000004</v>
      </c>
      <c r="S335" s="54"/>
      <c r="T335" s="54"/>
      <c r="U335" s="85"/>
      <c r="V335" s="86"/>
      <c r="W335" s="86"/>
      <c r="X335" s="58">
        <f t="shared" si="15"/>
        <v>0.79500000000000004</v>
      </c>
      <c r="Y335">
        <v>9.1999999999999993</v>
      </c>
      <c r="Z335" s="63" t="str">
        <f t="shared" si="11"/>
        <v>S</v>
      </c>
      <c r="AF335" s="45"/>
    </row>
    <row r="336" spans="1:32">
      <c r="A336" s="53"/>
      <c r="B336" s="290" t="s">
        <v>1276</v>
      </c>
      <c r="C336" s="291">
        <v>1989</v>
      </c>
      <c r="D336" s="66"/>
      <c r="E336" s="60" t="s">
        <v>49</v>
      </c>
      <c r="F336" s="85"/>
      <c r="G336" s="54"/>
      <c r="H336" s="74"/>
      <c r="I336" s="74"/>
      <c r="J336" s="257" t="s">
        <v>1062</v>
      </c>
      <c r="K336" s="257" t="s">
        <v>1283</v>
      </c>
      <c r="L336" s="85"/>
      <c r="M336" s="85"/>
      <c r="N336" s="85"/>
      <c r="O336" t="s">
        <v>1300</v>
      </c>
      <c r="P336" s="85"/>
      <c r="Q336" s="85"/>
      <c r="R336">
        <v>0.81599999999999995</v>
      </c>
      <c r="S336" s="54"/>
      <c r="T336" s="54"/>
      <c r="U336" s="85"/>
      <c r="V336" s="86"/>
      <c r="W336" s="86"/>
      <c r="X336" s="58">
        <f t="shared" si="15"/>
        <v>0.81599999999999995</v>
      </c>
      <c r="Y336">
        <v>7.7</v>
      </c>
      <c r="Z336" s="63" t="str">
        <f t="shared" si="11"/>
        <v>S</v>
      </c>
      <c r="AF336" s="45"/>
    </row>
    <row r="337" spans="1:33">
      <c r="A337" s="53"/>
      <c r="B337" s="290" t="s">
        <v>1276</v>
      </c>
      <c r="C337" s="291">
        <v>1989</v>
      </c>
      <c r="D337" s="66"/>
      <c r="E337" s="60" t="s">
        <v>49</v>
      </c>
      <c r="F337" s="85"/>
      <c r="G337" s="54"/>
      <c r="H337" s="74"/>
      <c r="I337" s="74"/>
      <c r="J337" s="257" t="s">
        <v>1062</v>
      </c>
      <c r="K337" s="257" t="s">
        <v>1283</v>
      </c>
      <c r="L337" s="85"/>
      <c r="M337" s="85"/>
      <c r="N337" s="85"/>
      <c r="O337" t="s">
        <v>1301</v>
      </c>
      <c r="P337" s="85"/>
      <c r="Q337" s="85"/>
      <c r="R337">
        <v>0.81699999999999995</v>
      </c>
      <c r="S337" s="54"/>
      <c r="T337" s="54"/>
      <c r="U337" s="85"/>
      <c r="V337" s="86"/>
      <c r="W337" s="86"/>
      <c r="X337" s="58">
        <f t="shared" si="15"/>
        <v>0.81699999999999995</v>
      </c>
      <c r="Y337">
        <v>5.9</v>
      </c>
      <c r="Z337" s="63" t="str">
        <f t="shared" si="11"/>
        <v>S</v>
      </c>
      <c r="AF337" s="45"/>
    </row>
    <row r="338" spans="1:33">
      <c r="A338" s="53"/>
      <c r="B338" s="290" t="s">
        <v>1276</v>
      </c>
      <c r="C338" s="291">
        <v>1989</v>
      </c>
      <c r="D338" s="66"/>
      <c r="E338" s="60" t="s">
        <v>49</v>
      </c>
      <c r="F338" s="85"/>
      <c r="G338" s="54"/>
      <c r="H338" s="74"/>
      <c r="I338" s="74"/>
      <c r="J338" s="257" t="s">
        <v>1062</v>
      </c>
      <c r="K338" s="257" t="s">
        <v>1283</v>
      </c>
      <c r="L338" s="85"/>
      <c r="M338" s="85"/>
      <c r="N338" s="85"/>
      <c r="O338" t="s">
        <v>1302</v>
      </c>
      <c r="P338" s="85"/>
      <c r="Q338" s="85"/>
      <c r="R338">
        <v>0.86399999999999999</v>
      </c>
      <c r="S338" s="54"/>
      <c r="T338" s="54"/>
      <c r="U338" s="85"/>
      <c r="V338" s="86"/>
      <c r="W338" s="86"/>
      <c r="X338" s="58">
        <f t="shared" si="15"/>
        <v>0.86399999999999999</v>
      </c>
      <c r="Y338">
        <v>6.1</v>
      </c>
      <c r="Z338" s="63" t="str">
        <f t="shared" si="11"/>
        <v>S</v>
      </c>
      <c r="AF338" s="45"/>
    </row>
    <row r="339" spans="1:33">
      <c r="A339" s="53"/>
      <c r="B339" s="290" t="s">
        <v>1276</v>
      </c>
      <c r="C339" s="291">
        <v>1989</v>
      </c>
      <c r="D339" s="66"/>
      <c r="E339" s="60" t="s">
        <v>49</v>
      </c>
      <c r="F339" s="85"/>
      <c r="G339" s="54"/>
      <c r="H339" s="74"/>
      <c r="I339" s="74"/>
      <c r="J339" s="257" t="s">
        <v>1062</v>
      </c>
      <c r="K339" s="257" t="s">
        <v>1283</v>
      </c>
      <c r="L339" s="85"/>
      <c r="M339" s="85"/>
      <c r="N339" s="85"/>
      <c r="O339" t="s">
        <v>1303</v>
      </c>
      <c r="P339" s="85"/>
      <c r="Q339" s="85"/>
      <c r="R339">
        <v>0.84099999999999997</v>
      </c>
      <c r="S339" s="54"/>
      <c r="T339" s="54"/>
      <c r="U339" s="85"/>
      <c r="V339" s="86"/>
      <c r="W339" s="86"/>
      <c r="X339" s="58">
        <f t="shared" si="15"/>
        <v>0.84099999999999997</v>
      </c>
      <c r="Y339">
        <v>6.6</v>
      </c>
      <c r="Z339" s="63" t="str">
        <f t="shared" si="11"/>
        <v>S</v>
      </c>
      <c r="AF339" s="45"/>
    </row>
    <row r="340" spans="1:33">
      <c r="A340" s="53"/>
      <c r="B340" s="290" t="s">
        <v>1276</v>
      </c>
      <c r="C340" s="291">
        <v>1989</v>
      </c>
      <c r="D340" s="66"/>
      <c r="E340" s="60" t="s">
        <v>49</v>
      </c>
      <c r="F340" s="85"/>
      <c r="G340" s="54"/>
      <c r="H340" s="74"/>
      <c r="I340" s="74"/>
      <c r="J340" s="257" t="s">
        <v>1062</v>
      </c>
      <c r="K340" s="257" t="s">
        <v>1283</v>
      </c>
      <c r="L340" s="85"/>
      <c r="M340" s="85"/>
      <c r="N340" s="85"/>
      <c r="O340" t="s">
        <v>1304</v>
      </c>
      <c r="P340" s="85"/>
      <c r="Q340" s="85"/>
      <c r="R340">
        <v>0.84</v>
      </c>
      <c r="S340" s="54"/>
      <c r="T340" s="54"/>
      <c r="U340" s="85"/>
      <c r="V340" s="86"/>
      <c r="W340" s="86"/>
      <c r="X340" s="58">
        <f t="shared" si="15"/>
        <v>0.84</v>
      </c>
      <c r="Y340">
        <v>6.6</v>
      </c>
      <c r="Z340" s="63" t="str">
        <f t="shared" si="11"/>
        <v>S</v>
      </c>
      <c r="AF340" s="45"/>
    </row>
    <row r="341" spans="1:33">
      <c r="A341" s="53"/>
      <c r="B341" s="290" t="s">
        <v>1276</v>
      </c>
      <c r="C341" s="291">
        <v>1989</v>
      </c>
      <c r="D341" s="66"/>
      <c r="E341" s="60" t="s">
        <v>49</v>
      </c>
      <c r="F341" s="85"/>
      <c r="G341" s="54"/>
      <c r="H341" s="74"/>
      <c r="I341" s="74"/>
      <c r="J341" s="257" t="s">
        <v>1062</v>
      </c>
      <c r="K341" s="257" t="s">
        <v>1283</v>
      </c>
      <c r="L341" s="85"/>
      <c r="M341" s="85"/>
      <c r="N341" s="85"/>
      <c r="O341" t="s">
        <v>1305</v>
      </c>
      <c r="P341" s="85"/>
      <c r="Q341" s="85"/>
      <c r="R341">
        <v>0.81</v>
      </c>
      <c r="S341" s="54"/>
      <c r="T341" s="54"/>
      <c r="U341" s="85"/>
      <c r="V341" s="86"/>
      <c r="W341" s="86"/>
      <c r="X341" s="58">
        <f t="shared" si="15"/>
        <v>0.81</v>
      </c>
      <c r="Y341">
        <v>7.4</v>
      </c>
      <c r="Z341" s="63" t="str">
        <f t="shared" si="11"/>
        <v>S</v>
      </c>
      <c r="AF341" s="45"/>
    </row>
    <row r="342" spans="1:33">
      <c r="A342" s="53"/>
      <c r="B342" s="290" t="s">
        <v>1276</v>
      </c>
      <c r="C342" s="291">
        <v>1989</v>
      </c>
      <c r="D342" s="66"/>
      <c r="E342" s="60" t="s">
        <v>49</v>
      </c>
      <c r="F342" s="85"/>
      <c r="G342" s="54"/>
      <c r="H342" s="74"/>
      <c r="I342" s="74"/>
      <c r="J342" s="257" t="s">
        <v>1062</v>
      </c>
      <c r="K342" s="257" t="s">
        <v>1283</v>
      </c>
      <c r="L342" s="85"/>
      <c r="M342" s="85"/>
      <c r="N342" s="85"/>
      <c r="O342" t="s">
        <v>1306</v>
      </c>
      <c r="P342" s="85"/>
      <c r="Q342" s="85"/>
      <c r="R342">
        <v>0.88100000000000001</v>
      </c>
      <c r="S342" s="54"/>
      <c r="T342" s="54"/>
      <c r="U342" s="85"/>
      <c r="V342" s="86"/>
      <c r="W342" s="86"/>
      <c r="X342" s="58">
        <f t="shared" si="15"/>
        <v>0.88100000000000001</v>
      </c>
      <c r="Y342">
        <v>5.2</v>
      </c>
      <c r="Z342" s="63" t="str">
        <f t="shared" si="11"/>
        <v>S</v>
      </c>
      <c r="AF342" s="45"/>
    </row>
    <row r="343" spans="1:33">
      <c r="A343" s="53"/>
      <c r="B343" s="290" t="s">
        <v>1276</v>
      </c>
      <c r="C343" s="291">
        <v>1989</v>
      </c>
      <c r="D343" s="66"/>
      <c r="E343" s="60" t="s">
        <v>49</v>
      </c>
      <c r="F343" s="85"/>
      <c r="G343" s="54"/>
      <c r="H343" s="74"/>
      <c r="I343" s="74"/>
      <c r="J343" s="257" t="s">
        <v>1062</v>
      </c>
      <c r="K343" s="257" t="s">
        <v>1283</v>
      </c>
      <c r="L343" s="85"/>
      <c r="M343" s="85"/>
      <c r="N343" s="85"/>
      <c r="O343" t="s">
        <v>1307</v>
      </c>
      <c r="P343" s="85"/>
      <c r="Q343" s="85"/>
      <c r="R343">
        <v>0.82899999999999996</v>
      </c>
      <c r="S343" s="54"/>
      <c r="T343" s="54"/>
      <c r="U343" s="85"/>
      <c r="V343" s="86"/>
      <c r="W343" s="86"/>
      <c r="X343" s="58">
        <f t="shared" si="15"/>
        <v>0.82899999999999996</v>
      </c>
      <c r="Y343">
        <v>7.4</v>
      </c>
      <c r="Z343" s="63" t="str">
        <f t="shared" si="11"/>
        <v>S</v>
      </c>
      <c r="AF343" s="45"/>
    </row>
    <row r="344" spans="1:33" s="107" customFormat="1">
      <c r="A344" s="97">
        <v>63</v>
      </c>
      <c r="B344" s="103" t="s">
        <v>168</v>
      </c>
      <c r="C344" s="103">
        <v>1989</v>
      </c>
      <c r="D344" s="103" t="s">
        <v>169</v>
      </c>
      <c r="E344" s="112" t="s">
        <v>172</v>
      </c>
      <c r="F344" s="134">
        <v>31749</v>
      </c>
      <c r="G344" s="98" t="s">
        <v>183</v>
      </c>
      <c r="H344" s="108" t="s">
        <v>146</v>
      </c>
      <c r="I344" s="101"/>
      <c r="J344" s="101" t="s">
        <v>1034</v>
      </c>
      <c r="K344" s="108" t="s">
        <v>1038</v>
      </c>
      <c r="L344" s="119" t="s">
        <v>184</v>
      </c>
      <c r="M344" s="119"/>
      <c r="N344" s="119"/>
      <c r="O344" s="119" t="s">
        <v>148</v>
      </c>
      <c r="P344" s="119"/>
      <c r="Q344" s="119"/>
      <c r="R344" s="98"/>
      <c r="S344" s="98"/>
      <c r="T344" s="98"/>
      <c r="U344" s="119"/>
      <c r="V344" s="120"/>
      <c r="W344" s="120"/>
      <c r="X344" s="101" t="str">
        <f t="shared" si="15"/>
        <v/>
      </c>
      <c r="Y344" s="121">
        <v>0.9</v>
      </c>
      <c r="Z344" s="106" t="str">
        <f t="shared" si="11"/>
        <v/>
      </c>
      <c r="AA344" s="149"/>
      <c r="AB344" s="150" t="s">
        <v>1179</v>
      </c>
      <c r="AC344" s="158" t="s">
        <v>1182</v>
      </c>
      <c r="AD344" s="150" t="s">
        <v>1183</v>
      </c>
      <c r="AE344" s="150" t="s">
        <v>1184</v>
      </c>
      <c r="AF344" s="150" t="s">
        <v>1190</v>
      </c>
      <c r="AG344" s="150" t="s">
        <v>1186</v>
      </c>
    </row>
    <row r="345" spans="1:33" s="107" customFormat="1">
      <c r="A345" s="97">
        <v>63</v>
      </c>
      <c r="B345" s="103" t="s">
        <v>168</v>
      </c>
      <c r="C345" s="103">
        <v>1989</v>
      </c>
      <c r="D345" s="103" t="s">
        <v>169</v>
      </c>
      <c r="E345" s="99" t="s">
        <v>172</v>
      </c>
      <c r="F345" s="127">
        <v>31758</v>
      </c>
      <c r="G345" s="98" t="s">
        <v>173</v>
      </c>
      <c r="H345" s="98" t="s">
        <v>146</v>
      </c>
      <c r="I345" s="101"/>
      <c r="J345" s="101" t="s">
        <v>1034</v>
      </c>
      <c r="K345" s="108" t="s">
        <v>1039</v>
      </c>
      <c r="L345" s="98" t="s">
        <v>174</v>
      </c>
      <c r="M345" s="98"/>
      <c r="N345" s="98"/>
      <c r="O345" s="98" t="s">
        <v>175</v>
      </c>
      <c r="P345" s="98"/>
      <c r="Q345" s="98"/>
      <c r="R345" s="98"/>
      <c r="S345" s="98"/>
      <c r="T345" s="98"/>
      <c r="U345" s="98"/>
      <c r="V345" s="98"/>
      <c r="W345" s="98"/>
      <c r="X345" s="101" t="str">
        <f t="shared" si="15"/>
        <v/>
      </c>
      <c r="Y345" s="111">
        <v>2.4</v>
      </c>
      <c r="Z345" s="106" t="str">
        <f t="shared" si="11"/>
        <v/>
      </c>
      <c r="AA345" s="150" t="s">
        <v>1364</v>
      </c>
      <c r="AB345" s="151">
        <f>AVERAGE($Y$344:$Y$379)</f>
        <v>2.5130277777777774</v>
      </c>
      <c r="AC345" s="151">
        <f>MEDIAN($Y$344:$Y$379)</f>
        <v>2.1749999999999998</v>
      </c>
      <c r="AD345" s="151">
        <f>MAX($Y$344:$Y$379)</f>
        <v>6.31</v>
      </c>
      <c r="AE345" s="151">
        <f>MIN($Y$344:$Y$379)</f>
        <v>0.2</v>
      </c>
      <c r="AF345" s="151">
        <f>STDEV($Y$344:$Y$379)</f>
        <v>1.5600019869238466</v>
      </c>
      <c r="AG345" s="307">
        <f>COUNT($Y$344:$Y$379)</f>
        <v>36</v>
      </c>
    </row>
    <row r="346" spans="1:33" s="107" customFormat="1">
      <c r="A346" s="97">
        <v>63</v>
      </c>
      <c r="B346" s="103" t="s">
        <v>168</v>
      </c>
      <c r="C346" s="103">
        <v>1989</v>
      </c>
      <c r="D346" s="103" t="s">
        <v>169</v>
      </c>
      <c r="E346" s="99" t="s">
        <v>172</v>
      </c>
      <c r="F346" s="127">
        <v>31950</v>
      </c>
      <c r="G346" s="98" t="s">
        <v>173</v>
      </c>
      <c r="H346" s="98" t="s">
        <v>146</v>
      </c>
      <c r="I346" s="101"/>
      <c r="J346" s="101" t="s">
        <v>1034</v>
      </c>
      <c r="K346" s="98" t="s">
        <v>1035</v>
      </c>
      <c r="L346" s="98" t="s">
        <v>174</v>
      </c>
      <c r="M346" s="98"/>
      <c r="N346" s="98"/>
      <c r="O346" s="98" t="s">
        <v>150</v>
      </c>
      <c r="P346" s="98"/>
      <c r="Q346" s="98"/>
      <c r="R346" s="98"/>
      <c r="S346" s="98"/>
      <c r="T346" s="98"/>
      <c r="U346" s="98"/>
      <c r="V346" s="98"/>
      <c r="W346" s="98"/>
      <c r="X346" s="101" t="str">
        <f t="shared" si="15"/>
        <v/>
      </c>
      <c r="Y346" s="111">
        <v>3.6</v>
      </c>
      <c r="Z346" s="106" t="str">
        <f t="shared" si="11"/>
        <v/>
      </c>
      <c r="AA346" s="150" t="s">
        <v>1365</v>
      </c>
      <c r="AB346" s="159">
        <f>AVERAGE($Y$347:$Y$372)</f>
        <v>2.0199615384615388</v>
      </c>
      <c r="AC346" s="159">
        <f>MEDIAN($Y$347:$Y$372)</f>
        <v>1.7109999999999999</v>
      </c>
      <c r="AD346" s="159">
        <f>MAX($Y$347:$Y$372)</f>
        <v>6.31</v>
      </c>
      <c r="AE346" s="159">
        <f>MIN($Y$347:$Y$372)</f>
        <v>0.2</v>
      </c>
      <c r="AF346" s="159">
        <f>STDEV($Y$347:$Y$372)</f>
        <v>1.2484144658171565</v>
      </c>
      <c r="AG346" s="150">
        <f>COUNT($Y$347:$Y$372)</f>
        <v>26</v>
      </c>
    </row>
    <row r="347" spans="1:33" s="107" customFormat="1">
      <c r="A347" s="97">
        <v>66</v>
      </c>
      <c r="B347" s="103" t="s">
        <v>45</v>
      </c>
      <c r="C347" s="103">
        <v>1989</v>
      </c>
      <c r="D347" s="103" t="s">
        <v>187</v>
      </c>
      <c r="E347" s="99" t="s">
        <v>49</v>
      </c>
      <c r="F347" s="127">
        <v>31593</v>
      </c>
      <c r="G347" s="98" t="s">
        <v>190</v>
      </c>
      <c r="H347" s="98" t="s">
        <v>146</v>
      </c>
      <c r="I347" s="98"/>
      <c r="J347" s="98" t="s">
        <v>1034</v>
      </c>
      <c r="K347" s="98" t="s">
        <v>166</v>
      </c>
      <c r="L347" s="98" t="s">
        <v>166</v>
      </c>
      <c r="M347" s="98"/>
      <c r="N347" s="98"/>
      <c r="O347" s="98" t="s">
        <v>191</v>
      </c>
      <c r="P347" s="98"/>
      <c r="Q347" s="98"/>
      <c r="R347" s="98"/>
      <c r="S347" s="98"/>
      <c r="T347" s="98"/>
      <c r="U347" s="98"/>
      <c r="V347" s="98"/>
      <c r="W347" s="98"/>
      <c r="X347" s="101" t="str">
        <f t="shared" si="15"/>
        <v/>
      </c>
      <c r="Y347" s="111">
        <v>2.7</v>
      </c>
      <c r="Z347" s="106" t="s">
        <v>1192</v>
      </c>
      <c r="AA347" s="150" t="s">
        <v>1366</v>
      </c>
      <c r="AB347" s="159">
        <f>AVERAGE($Y$373:$Y$379)</f>
        <v>4.4357142857142851</v>
      </c>
      <c r="AC347" s="159">
        <f>MEDIAN($Y$373:$Y$379)</f>
        <v>4.5999999999999996</v>
      </c>
      <c r="AD347" s="159">
        <f>MAX($Y$373:$Y$379)</f>
        <v>6.2</v>
      </c>
      <c r="AE347" s="159">
        <f>MIN($Y$373:$Y$379)</f>
        <v>2.0499999999999998</v>
      </c>
      <c r="AF347" s="159">
        <f>STDEV($Y$373:$Y$379)</f>
        <v>1.3050269108701338</v>
      </c>
      <c r="AG347" s="150">
        <f>COUNT($Y$373:$Y$379)</f>
        <v>7</v>
      </c>
    </row>
    <row r="348" spans="1:33" s="107" customFormat="1">
      <c r="A348" s="97">
        <v>66</v>
      </c>
      <c r="B348" s="103" t="s">
        <v>45</v>
      </c>
      <c r="C348" s="103">
        <v>1989</v>
      </c>
      <c r="D348" s="103" t="s">
        <v>187</v>
      </c>
      <c r="E348" s="99" t="s">
        <v>49</v>
      </c>
      <c r="F348" s="98" t="s">
        <v>192</v>
      </c>
      <c r="G348" s="98" t="s">
        <v>190</v>
      </c>
      <c r="H348" s="98" t="s">
        <v>146</v>
      </c>
      <c r="I348" s="98"/>
      <c r="J348" s="98" t="s">
        <v>1034</v>
      </c>
      <c r="K348" s="98" t="s">
        <v>1035</v>
      </c>
      <c r="L348" s="98" t="s">
        <v>193</v>
      </c>
      <c r="M348" s="98"/>
      <c r="N348" s="98"/>
      <c r="O348" s="98" t="s">
        <v>199</v>
      </c>
      <c r="P348" s="98"/>
      <c r="Q348" s="98"/>
      <c r="R348" s="98"/>
      <c r="S348" s="98"/>
      <c r="T348" s="98"/>
      <c r="U348" s="98"/>
      <c r="V348" s="98"/>
      <c r="W348" s="98"/>
      <c r="X348" s="101" t="str">
        <f t="shared" si="15"/>
        <v/>
      </c>
      <c r="Y348" s="111">
        <v>0.6</v>
      </c>
      <c r="Z348" s="106" t="s">
        <v>1192</v>
      </c>
    </row>
    <row r="349" spans="1:33" s="107" customFormat="1">
      <c r="A349" s="97">
        <v>66</v>
      </c>
      <c r="B349" s="103" t="s">
        <v>45</v>
      </c>
      <c r="C349" s="103">
        <v>1989</v>
      </c>
      <c r="D349" s="103" t="s">
        <v>187</v>
      </c>
      <c r="E349" s="99" t="s">
        <v>49</v>
      </c>
      <c r="F349" s="98" t="s">
        <v>192</v>
      </c>
      <c r="G349" s="98" t="s">
        <v>190</v>
      </c>
      <c r="H349" s="98" t="s">
        <v>146</v>
      </c>
      <c r="I349" s="98"/>
      <c r="J349" s="98" t="s">
        <v>1034</v>
      </c>
      <c r="K349" s="98" t="s">
        <v>1035</v>
      </c>
      <c r="L349" s="98" t="s">
        <v>193</v>
      </c>
      <c r="M349" s="98"/>
      <c r="N349" s="98"/>
      <c r="O349" s="98" t="s">
        <v>194</v>
      </c>
      <c r="P349" s="98"/>
      <c r="Q349" s="98"/>
      <c r="R349" s="98"/>
      <c r="S349" s="98"/>
      <c r="T349" s="98"/>
      <c r="U349" s="98"/>
      <c r="V349" s="98"/>
      <c r="W349" s="98"/>
      <c r="X349" s="101" t="str">
        <f t="shared" si="15"/>
        <v/>
      </c>
      <c r="Y349" s="111">
        <v>1.8</v>
      </c>
      <c r="Z349" s="106" t="s">
        <v>1192</v>
      </c>
    </row>
    <row r="350" spans="1:33" s="107" customFormat="1">
      <c r="A350" s="97">
        <v>66</v>
      </c>
      <c r="B350" s="103" t="s">
        <v>45</v>
      </c>
      <c r="C350" s="103">
        <v>1989</v>
      </c>
      <c r="D350" s="103" t="s">
        <v>187</v>
      </c>
      <c r="E350" s="99" t="s">
        <v>49</v>
      </c>
      <c r="F350" s="98" t="s">
        <v>192</v>
      </c>
      <c r="G350" s="98" t="s">
        <v>190</v>
      </c>
      <c r="H350" s="98" t="s">
        <v>146</v>
      </c>
      <c r="I350" s="98"/>
      <c r="J350" s="98" t="s">
        <v>1034</v>
      </c>
      <c r="K350" s="98" t="s">
        <v>1035</v>
      </c>
      <c r="L350" s="98" t="s">
        <v>193</v>
      </c>
      <c r="M350" s="98"/>
      <c r="N350" s="98"/>
      <c r="O350" s="98" t="s">
        <v>200</v>
      </c>
      <c r="P350" s="98"/>
      <c r="Q350" s="98"/>
      <c r="R350" s="98"/>
      <c r="S350" s="98"/>
      <c r="T350" s="98"/>
      <c r="U350" s="98"/>
      <c r="V350" s="98"/>
      <c r="W350" s="98"/>
      <c r="X350" s="101" t="str">
        <f t="shared" si="15"/>
        <v/>
      </c>
      <c r="Y350" s="111">
        <v>2.2999999999999998</v>
      </c>
      <c r="Z350" s="106" t="s">
        <v>1192</v>
      </c>
    </row>
    <row r="351" spans="1:33" s="107" customFormat="1">
      <c r="A351" s="97">
        <v>66</v>
      </c>
      <c r="B351" s="103" t="s">
        <v>45</v>
      </c>
      <c r="C351" s="103">
        <v>1989</v>
      </c>
      <c r="D351" s="103" t="s">
        <v>187</v>
      </c>
      <c r="E351" s="99" t="s">
        <v>49</v>
      </c>
      <c r="F351" s="98" t="s">
        <v>195</v>
      </c>
      <c r="G351" s="98" t="s">
        <v>190</v>
      </c>
      <c r="H351" s="98" t="s">
        <v>146</v>
      </c>
      <c r="I351" s="98"/>
      <c r="J351" s="98" t="s">
        <v>1034</v>
      </c>
      <c r="K351" s="98" t="s">
        <v>1065</v>
      </c>
      <c r="L351" s="98" t="s">
        <v>196</v>
      </c>
      <c r="M351" s="98"/>
      <c r="N351" s="98"/>
      <c r="O351" s="98" t="s">
        <v>198</v>
      </c>
      <c r="P351" s="98"/>
      <c r="Q351" s="98"/>
      <c r="R351" s="98"/>
      <c r="S351" s="98"/>
      <c r="T351" s="98"/>
      <c r="U351" s="98"/>
      <c r="V351" s="98"/>
      <c r="W351" s="98"/>
      <c r="X351" s="101" t="str">
        <f t="shared" si="15"/>
        <v/>
      </c>
      <c r="Y351" s="111">
        <v>1.2</v>
      </c>
      <c r="Z351" s="106" t="s">
        <v>1192</v>
      </c>
    </row>
    <row r="352" spans="1:33" s="107" customFormat="1">
      <c r="A352" s="97">
        <v>174</v>
      </c>
      <c r="B352" s="98" t="s">
        <v>697</v>
      </c>
      <c r="C352" s="98">
        <v>2009</v>
      </c>
      <c r="D352" s="108" t="s">
        <v>698</v>
      </c>
      <c r="E352" s="99" t="s">
        <v>20</v>
      </c>
      <c r="F352" s="100" t="s">
        <v>701</v>
      </c>
      <c r="G352" s="98" t="s">
        <v>745</v>
      </c>
      <c r="H352" s="98" t="s">
        <v>746</v>
      </c>
      <c r="I352" s="98"/>
      <c r="J352" s="101" t="s">
        <v>1034</v>
      </c>
      <c r="K352" s="98" t="s">
        <v>1105</v>
      </c>
      <c r="L352" s="98" t="s">
        <v>747</v>
      </c>
      <c r="M352" s="109"/>
      <c r="N352" s="109"/>
      <c r="O352" s="98" t="s">
        <v>748</v>
      </c>
      <c r="P352" s="103"/>
      <c r="Q352" s="103"/>
      <c r="R352" s="98"/>
      <c r="S352" s="98"/>
      <c r="T352" s="98"/>
      <c r="U352" s="104">
        <v>0.95599999999999996</v>
      </c>
      <c r="V352" s="104"/>
      <c r="W352" s="104"/>
      <c r="X352" s="101">
        <f t="shared" si="15"/>
        <v>0.95599999999999996</v>
      </c>
      <c r="Y352" s="110">
        <v>0.2</v>
      </c>
      <c r="Z352" s="106" t="str">
        <f t="shared" ref="Z352:Z372" si="16">IF(X352&lt;&gt;"",IF(X352&lt;0.9,"S","F"),"")</f>
        <v>F</v>
      </c>
    </row>
    <row r="353" spans="1:28" s="107" customFormat="1">
      <c r="A353" s="97">
        <v>172</v>
      </c>
      <c r="B353" s="98" t="s">
        <v>585</v>
      </c>
      <c r="C353" s="98">
        <v>2010</v>
      </c>
      <c r="D353" s="98" t="s">
        <v>586</v>
      </c>
      <c r="E353" s="99" t="s">
        <v>589</v>
      </c>
      <c r="F353" s="100">
        <v>40224</v>
      </c>
      <c r="G353" s="98" t="s">
        <v>608</v>
      </c>
      <c r="H353" s="98" t="s">
        <v>581</v>
      </c>
      <c r="I353" s="98"/>
      <c r="J353" s="101" t="s">
        <v>1034</v>
      </c>
      <c r="K353" s="98" t="s">
        <v>1061</v>
      </c>
      <c r="L353" s="98" t="s">
        <v>609</v>
      </c>
      <c r="M353" s="102" t="s">
        <v>610</v>
      </c>
      <c r="N353" s="102"/>
      <c r="O353" s="98"/>
      <c r="P353" s="103"/>
      <c r="Q353" s="103"/>
      <c r="R353" s="98"/>
      <c r="S353" s="98"/>
      <c r="T353" s="98"/>
      <c r="U353" s="103">
        <v>0.95399999999999996</v>
      </c>
      <c r="V353" s="104"/>
      <c r="W353" s="104"/>
      <c r="X353" s="101">
        <f t="shared" si="15"/>
        <v>0.95399999999999996</v>
      </c>
      <c r="Y353" s="105">
        <v>1.641</v>
      </c>
      <c r="Z353" s="106" t="str">
        <f t="shared" si="16"/>
        <v>F</v>
      </c>
    </row>
    <row r="354" spans="1:28" s="107" customFormat="1">
      <c r="A354" s="97">
        <v>172</v>
      </c>
      <c r="B354" s="98" t="s">
        <v>585</v>
      </c>
      <c r="C354" s="98">
        <v>2010</v>
      </c>
      <c r="D354" s="98" t="s">
        <v>586</v>
      </c>
      <c r="E354" s="99" t="s">
        <v>589</v>
      </c>
      <c r="F354" s="100">
        <v>40223</v>
      </c>
      <c r="G354" s="98" t="s">
        <v>595</v>
      </c>
      <c r="H354" s="98" t="s">
        <v>146</v>
      </c>
      <c r="I354" s="98"/>
      <c r="J354" s="101" t="s">
        <v>1034</v>
      </c>
      <c r="K354" s="98" t="s">
        <v>1043</v>
      </c>
      <c r="L354" s="98" t="s">
        <v>605</v>
      </c>
      <c r="M354" s="102" t="s">
        <v>606</v>
      </c>
      <c r="N354" s="102" t="s">
        <v>607</v>
      </c>
      <c r="O354" s="98"/>
      <c r="P354" s="103"/>
      <c r="Q354" s="103"/>
      <c r="R354" s="98"/>
      <c r="S354" s="98"/>
      <c r="T354" s="98"/>
      <c r="U354" s="103">
        <v>0.95199999999999996</v>
      </c>
      <c r="V354" s="104"/>
      <c r="W354" s="104"/>
      <c r="X354" s="101">
        <f t="shared" si="15"/>
        <v>0.95199999999999996</v>
      </c>
      <c r="Y354" s="105">
        <v>1.66</v>
      </c>
      <c r="Z354" s="106" t="str">
        <f t="shared" si="16"/>
        <v>F</v>
      </c>
    </row>
    <row r="355" spans="1:28" s="107" customFormat="1">
      <c r="A355" s="97">
        <v>173</v>
      </c>
      <c r="B355" s="98" t="s">
        <v>585</v>
      </c>
      <c r="C355" s="98">
        <v>2011</v>
      </c>
      <c r="D355" s="108" t="s">
        <v>636</v>
      </c>
      <c r="E355" s="99" t="s">
        <v>638</v>
      </c>
      <c r="F355" s="100" t="s">
        <v>662</v>
      </c>
      <c r="G355" s="98" t="s">
        <v>595</v>
      </c>
      <c r="H355" s="98" t="s">
        <v>146</v>
      </c>
      <c r="I355" s="98"/>
      <c r="J355" s="101" t="s">
        <v>1034</v>
      </c>
      <c r="K355" s="98" t="s">
        <v>1038</v>
      </c>
      <c r="L355" s="98" t="s">
        <v>663</v>
      </c>
      <c r="M355" s="109"/>
      <c r="N355" s="109"/>
      <c r="O355" s="98" t="s">
        <v>664</v>
      </c>
      <c r="P355" s="103"/>
      <c r="Q355" s="103"/>
      <c r="R355" s="98"/>
      <c r="S355" s="98"/>
      <c r="T355" s="98"/>
      <c r="U355" s="104">
        <v>0.95</v>
      </c>
      <c r="V355" s="104"/>
      <c r="W355" s="104"/>
      <c r="X355" s="101">
        <f t="shared" si="15"/>
        <v>0.95</v>
      </c>
      <c r="Y355" s="122">
        <v>2.37</v>
      </c>
      <c r="Z355" s="106" t="str">
        <f t="shared" si="16"/>
        <v>F</v>
      </c>
    </row>
    <row r="356" spans="1:28" s="107" customFormat="1">
      <c r="A356" s="97">
        <v>172</v>
      </c>
      <c r="B356" s="98" t="s">
        <v>585</v>
      </c>
      <c r="C356" s="98">
        <v>2010</v>
      </c>
      <c r="D356" s="98" t="s">
        <v>586</v>
      </c>
      <c r="E356" s="99" t="s">
        <v>589</v>
      </c>
      <c r="F356" s="100">
        <v>40222</v>
      </c>
      <c r="G356" s="98" t="s">
        <v>595</v>
      </c>
      <c r="H356" s="98" t="s">
        <v>146</v>
      </c>
      <c r="I356" s="98"/>
      <c r="J356" s="101" t="s">
        <v>1034</v>
      </c>
      <c r="K356" s="98" t="s">
        <v>1066</v>
      </c>
      <c r="L356" s="98" t="s">
        <v>602</v>
      </c>
      <c r="M356" s="102" t="s">
        <v>603</v>
      </c>
      <c r="N356" s="102" t="s">
        <v>604</v>
      </c>
      <c r="O356" s="98"/>
      <c r="P356" s="103"/>
      <c r="Q356" s="103"/>
      <c r="R356" s="98"/>
      <c r="S356" s="98"/>
      <c r="T356" s="98"/>
      <c r="U356" s="103">
        <v>0.94799999999999995</v>
      </c>
      <c r="V356" s="104"/>
      <c r="W356" s="104"/>
      <c r="X356" s="101">
        <f t="shared" si="15"/>
        <v>0.94799999999999995</v>
      </c>
      <c r="Y356" s="105">
        <v>0.80900000000000005</v>
      </c>
      <c r="Z356" s="106" t="str">
        <f t="shared" si="16"/>
        <v>F</v>
      </c>
    </row>
    <row r="357" spans="1:28" s="107" customFormat="1">
      <c r="A357" s="97">
        <v>173</v>
      </c>
      <c r="B357" s="98" t="s">
        <v>585</v>
      </c>
      <c r="C357" s="98">
        <v>2011</v>
      </c>
      <c r="D357" s="108" t="s">
        <v>636</v>
      </c>
      <c r="E357" s="99" t="s">
        <v>638</v>
      </c>
      <c r="F357" s="100" t="s">
        <v>673</v>
      </c>
      <c r="G357" s="98" t="s">
        <v>674</v>
      </c>
      <c r="H357" s="98" t="s">
        <v>146</v>
      </c>
      <c r="I357" s="98"/>
      <c r="J357" s="101" t="s">
        <v>1034</v>
      </c>
      <c r="K357" s="98" t="s">
        <v>1038</v>
      </c>
      <c r="L357" s="98" t="s">
        <v>675</v>
      </c>
      <c r="M357" s="109"/>
      <c r="N357" s="109"/>
      <c r="O357" s="98" t="s">
        <v>676</v>
      </c>
      <c r="P357" s="103"/>
      <c r="Q357" s="103"/>
      <c r="R357" s="98"/>
      <c r="S357" s="98"/>
      <c r="T357" s="98"/>
      <c r="U357" s="104">
        <v>0.94699999999999995</v>
      </c>
      <c r="V357" s="104"/>
      <c r="W357" s="104"/>
      <c r="X357" s="101">
        <f t="shared" si="15"/>
        <v>0.94699999999999995</v>
      </c>
      <c r="Y357" s="122">
        <v>3.1</v>
      </c>
      <c r="Z357" s="106" t="str">
        <f t="shared" si="16"/>
        <v>F</v>
      </c>
    </row>
    <row r="358" spans="1:28" s="107" customFormat="1">
      <c r="A358" s="97">
        <v>172</v>
      </c>
      <c r="B358" s="98" t="s">
        <v>585</v>
      </c>
      <c r="C358" s="98">
        <v>2010</v>
      </c>
      <c r="D358" s="98" t="s">
        <v>586</v>
      </c>
      <c r="E358" s="99" t="s">
        <v>589</v>
      </c>
      <c r="F358" s="100">
        <v>40218</v>
      </c>
      <c r="G358" s="98" t="s">
        <v>590</v>
      </c>
      <c r="H358" s="98" t="s">
        <v>146</v>
      </c>
      <c r="I358" s="98"/>
      <c r="J358" s="101" t="s">
        <v>1034</v>
      </c>
      <c r="K358" s="98" t="s">
        <v>1065</v>
      </c>
      <c r="L358" s="98" t="s">
        <v>591</v>
      </c>
      <c r="M358" s="109" t="s">
        <v>592</v>
      </c>
      <c r="N358" s="109"/>
      <c r="O358" s="98"/>
      <c r="P358" s="98"/>
      <c r="Q358" s="98"/>
      <c r="R358" s="98"/>
      <c r="S358" s="98"/>
      <c r="T358" s="98"/>
      <c r="U358" s="103">
        <v>0.94599999999999995</v>
      </c>
      <c r="V358" s="104"/>
      <c r="W358" s="104"/>
      <c r="X358" s="101">
        <f t="shared" si="15"/>
        <v>0.94599999999999995</v>
      </c>
      <c r="Y358" s="105">
        <v>1.1719999999999999</v>
      </c>
      <c r="Z358" s="106" t="str">
        <f t="shared" si="16"/>
        <v>F</v>
      </c>
      <c r="AB358" s="135"/>
    </row>
    <row r="359" spans="1:28" s="107" customFormat="1">
      <c r="A359" s="97">
        <v>172</v>
      </c>
      <c r="B359" s="98" t="s">
        <v>585</v>
      </c>
      <c r="C359" s="98">
        <v>2010</v>
      </c>
      <c r="D359" s="98" t="s">
        <v>586</v>
      </c>
      <c r="E359" s="99" t="s">
        <v>589</v>
      </c>
      <c r="F359" s="100">
        <v>40220</v>
      </c>
      <c r="G359" s="98" t="s">
        <v>595</v>
      </c>
      <c r="H359" s="98" t="s">
        <v>146</v>
      </c>
      <c r="I359" s="98"/>
      <c r="J359" s="101" t="s">
        <v>1034</v>
      </c>
      <c r="K359" s="98" t="s">
        <v>1038</v>
      </c>
      <c r="L359" s="98" t="s">
        <v>596</v>
      </c>
      <c r="M359" s="102" t="s">
        <v>597</v>
      </c>
      <c r="N359" s="102" t="s">
        <v>598</v>
      </c>
      <c r="O359" s="98"/>
      <c r="P359" s="103"/>
      <c r="Q359" s="103"/>
      <c r="R359" s="98"/>
      <c r="S359" s="98"/>
      <c r="T359" s="98"/>
      <c r="U359" s="103">
        <v>0.94399999999999995</v>
      </c>
      <c r="V359" s="104"/>
      <c r="W359" s="104"/>
      <c r="X359" s="101">
        <f t="shared" si="15"/>
        <v>0.94399999999999995</v>
      </c>
      <c r="Y359" s="105">
        <v>1.722</v>
      </c>
      <c r="Z359" s="106" t="str">
        <f t="shared" si="16"/>
        <v>F</v>
      </c>
    </row>
    <row r="360" spans="1:28" s="107" customFormat="1">
      <c r="A360" s="97">
        <v>172</v>
      </c>
      <c r="B360" s="98" t="s">
        <v>585</v>
      </c>
      <c r="C360" s="98">
        <v>2010</v>
      </c>
      <c r="D360" s="98" t="s">
        <v>586</v>
      </c>
      <c r="E360" s="99" t="s">
        <v>589</v>
      </c>
      <c r="F360" s="100">
        <v>40219</v>
      </c>
      <c r="G360" s="98" t="s">
        <v>590</v>
      </c>
      <c r="H360" s="98" t="s">
        <v>146</v>
      </c>
      <c r="I360" s="98"/>
      <c r="J360" s="101" t="s">
        <v>1034</v>
      </c>
      <c r="K360" s="98" t="s">
        <v>1035</v>
      </c>
      <c r="L360" s="98" t="s">
        <v>593</v>
      </c>
      <c r="M360" s="102" t="s">
        <v>233</v>
      </c>
      <c r="N360" s="102" t="s">
        <v>594</v>
      </c>
      <c r="O360" s="98"/>
      <c r="P360" s="103"/>
      <c r="Q360" s="103"/>
      <c r="R360" s="98"/>
      <c r="S360" s="98"/>
      <c r="T360" s="98"/>
      <c r="U360" s="103">
        <v>0.93899999999999995</v>
      </c>
      <c r="V360" s="104"/>
      <c r="W360" s="104"/>
      <c r="X360" s="101">
        <f t="shared" si="15"/>
        <v>0.93899999999999995</v>
      </c>
      <c r="Y360" s="105">
        <v>1.494</v>
      </c>
      <c r="Z360" s="106" t="str">
        <f t="shared" si="16"/>
        <v>F</v>
      </c>
      <c r="AA360" s="156"/>
      <c r="AB360" s="157"/>
    </row>
    <row r="361" spans="1:28" s="107" customFormat="1">
      <c r="A361" s="97">
        <v>172</v>
      </c>
      <c r="B361" s="98" t="s">
        <v>585</v>
      </c>
      <c r="C361" s="98">
        <v>2010</v>
      </c>
      <c r="D361" s="98" t="s">
        <v>586</v>
      </c>
      <c r="E361" s="99" t="s">
        <v>589</v>
      </c>
      <c r="F361" s="100">
        <v>40221</v>
      </c>
      <c r="G361" s="98" t="s">
        <v>595</v>
      </c>
      <c r="H361" s="98" t="s">
        <v>146</v>
      </c>
      <c r="I361" s="98"/>
      <c r="J361" s="101" t="s">
        <v>1034</v>
      </c>
      <c r="K361" s="98" t="s">
        <v>1038</v>
      </c>
      <c r="L361" s="98" t="s">
        <v>599</v>
      </c>
      <c r="M361" s="102" t="s">
        <v>600</v>
      </c>
      <c r="N361" s="102" t="s">
        <v>601</v>
      </c>
      <c r="O361" s="98"/>
      <c r="P361" s="103"/>
      <c r="Q361" s="103"/>
      <c r="R361" s="98"/>
      <c r="S361" s="98"/>
      <c r="T361" s="98"/>
      <c r="U361" s="103">
        <v>0.93899999999999995</v>
      </c>
      <c r="V361" s="104"/>
      <c r="W361" s="104"/>
      <c r="X361" s="101">
        <f t="shared" si="15"/>
        <v>0.93899999999999995</v>
      </c>
      <c r="Y361" s="105">
        <v>1.7809999999999999</v>
      </c>
      <c r="Z361" s="106" t="str">
        <f t="shared" si="16"/>
        <v>F</v>
      </c>
    </row>
    <row r="362" spans="1:28" s="107" customFormat="1">
      <c r="A362" s="97">
        <v>173</v>
      </c>
      <c r="B362" s="98" t="s">
        <v>585</v>
      </c>
      <c r="C362" s="98">
        <v>2011</v>
      </c>
      <c r="D362" s="108" t="s">
        <v>636</v>
      </c>
      <c r="E362" s="99" t="s">
        <v>638</v>
      </c>
      <c r="F362" s="100" t="s">
        <v>665</v>
      </c>
      <c r="G362" s="98" t="s">
        <v>595</v>
      </c>
      <c r="H362" s="98" t="s">
        <v>146</v>
      </c>
      <c r="I362" s="98"/>
      <c r="J362" s="101" t="s">
        <v>1034</v>
      </c>
      <c r="K362" s="98" t="s">
        <v>1038</v>
      </c>
      <c r="L362" s="98" t="s">
        <v>663</v>
      </c>
      <c r="M362" s="109"/>
      <c r="N362" s="109"/>
      <c r="O362" s="98" t="s">
        <v>666</v>
      </c>
      <c r="P362" s="103"/>
      <c r="Q362" s="103"/>
      <c r="R362" s="98"/>
      <c r="S362" s="98"/>
      <c r="T362" s="98"/>
      <c r="U362" s="104">
        <v>0.93799999999999994</v>
      </c>
      <c r="V362" s="104"/>
      <c r="W362" s="104"/>
      <c r="X362" s="101">
        <f t="shared" si="15"/>
        <v>0.93799999999999994</v>
      </c>
      <c r="Y362" s="122">
        <v>3.34</v>
      </c>
      <c r="Z362" s="106" t="str">
        <f t="shared" si="16"/>
        <v>F</v>
      </c>
    </row>
    <row r="363" spans="1:28" s="107" customFormat="1">
      <c r="A363" s="124"/>
      <c r="B363" s="131" t="s">
        <v>1025</v>
      </c>
      <c r="C363" s="132">
        <v>1996</v>
      </c>
      <c r="D363" s="124"/>
      <c r="E363" s="123" t="s">
        <v>49</v>
      </c>
      <c r="F363" s="124"/>
      <c r="G363" s="124"/>
      <c r="H363" s="131" t="s">
        <v>146</v>
      </c>
      <c r="I363" s="124"/>
      <c r="J363" s="124" t="s">
        <v>1034</v>
      </c>
      <c r="K363" s="103" t="s">
        <v>1036</v>
      </c>
      <c r="L363" s="131" t="s">
        <v>1031</v>
      </c>
      <c r="M363" s="124"/>
      <c r="N363" s="124"/>
      <c r="O363" s="131" t="s">
        <v>1027</v>
      </c>
      <c r="P363" s="131"/>
      <c r="Q363" s="124"/>
      <c r="R363" s="124"/>
      <c r="S363" s="124">
        <v>93.68</v>
      </c>
      <c r="T363" s="124"/>
      <c r="U363" s="124">
        <f>+S363</f>
        <v>93.68</v>
      </c>
      <c r="V363" s="124">
        <f>1.8/2</f>
        <v>0.9</v>
      </c>
      <c r="W363" s="124"/>
      <c r="X363" s="101">
        <f t="shared" si="15"/>
        <v>0.93680000000000008</v>
      </c>
      <c r="Y363" s="133">
        <f>+V363</f>
        <v>0.9</v>
      </c>
      <c r="Z363" s="106" t="str">
        <f t="shared" si="16"/>
        <v>F</v>
      </c>
    </row>
    <row r="364" spans="1:28" s="107" customFormat="1">
      <c r="A364" s="97">
        <v>174</v>
      </c>
      <c r="B364" s="98" t="s">
        <v>697</v>
      </c>
      <c r="C364" s="98">
        <v>2009</v>
      </c>
      <c r="D364" s="108" t="s">
        <v>698</v>
      </c>
      <c r="E364" s="99" t="s">
        <v>20</v>
      </c>
      <c r="F364" s="100" t="s">
        <v>701</v>
      </c>
      <c r="G364" s="98" t="s">
        <v>745</v>
      </c>
      <c r="H364" s="98" t="s">
        <v>746</v>
      </c>
      <c r="I364" s="98"/>
      <c r="J364" s="101" t="s">
        <v>1034</v>
      </c>
      <c r="K364" s="98" t="s">
        <v>1089</v>
      </c>
      <c r="L364" s="98" t="s">
        <v>753</v>
      </c>
      <c r="M364" s="109"/>
      <c r="N364" s="109"/>
      <c r="O364" s="98" t="s">
        <v>754</v>
      </c>
      <c r="P364" s="103"/>
      <c r="Q364" s="103"/>
      <c r="R364" s="98"/>
      <c r="S364" s="98"/>
      <c r="T364" s="98"/>
      <c r="U364" s="104">
        <v>0.93500000000000005</v>
      </c>
      <c r="V364" s="104"/>
      <c r="W364" s="104"/>
      <c r="X364" s="101">
        <f t="shared" si="15"/>
        <v>0.93500000000000005</v>
      </c>
      <c r="Y364" s="110">
        <v>1.3</v>
      </c>
      <c r="Z364" s="106" t="str">
        <f t="shared" si="16"/>
        <v>F</v>
      </c>
    </row>
    <row r="365" spans="1:28" s="107" customFormat="1">
      <c r="A365" s="97">
        <v>173</v>
      </c>
      <c r="B365" s="98" t="s">
        <v>585</v>
      </c>
      <c r="C365" s="98">
        <v>2011</v>
      </c>
      <c r="D365" s="108" t="s">
        <v>636</v>
      </c>
      <c r="E365" s="99" t="s">
        <v>638</v>
      </c>
      <c r="F365" s="100" t="s">
        <v>669</v>
      </c>
      <c r="G365" s="98" t="s">
        <v>670</v>
      </c>
      <c r="H365" s="98" t="s">
        <v>146</v>
      </c>
      <c r="I365" s="98"/>
      <c r="J365" s="101" t="s">
        <v>1034</v>
      </c>
      <c r="K365" s="98" t="s">
        <v>1043</v>
      </c>
      <c r="L365" s="98" t="s">
        <v>671</v>
      </c>
      <c r="M365" s="109"/>
      <c r="N365" s="109"/>
      <c r="O365" s="98" t="s">
        <v>672</v>
      </c>
      <c r="P365" s="103"/>
      <c r="Q365" s="103"/>
      <c r="R365" s="98"/>
      <c r="S365" s="98"/>
      <c r="T365" s="98"/>
      <c r="U365" s="104">
        <v>0.93300000000000005</v>
      </c>
      <c r="V365" s="104"/>
      <c r="W365" s="104"/>
      <c r="X365" s="101">
        <f t="shared" si="15"/>
        <v>0.93300000000000005</v>
      </c>
      <c r="Y365" s="122">
        <v>3.77</v>
      </c>
      <c r="Z365" s="106" t="str">
        <f t="shared" si="16"/>
        <v>F</v>
      </c>
    </row>
    <row r="366" spans="1:28" s="107" customFormat="1">
      <c r="A366" s="124"/>
      <c r="B366" s="131" t="s">
        <v>1025</v>
      </c>
      <c r="C366" s="132">
        <v>1996</v>
      </c>
      <c r="D366" s="124"/>
      <c r="E366" s="123" t="s">
        <v>49</v>
      </c>
      <c r="F366" s="124"/>
      <c r="G366" s="124"/>
      <c r="H366" s="131" t="s">
        <v>146</v>
      </c>
      <c r="I366" s="124"/>
      <c r="J366" s="124" t="s">
        <v>1034</v>
      </c>
      <c r="K366" s="103" t="s">
        <v>1035</v>
      </c>
      <c r="L366" s="131" t="s">
        <v>1032</v>
      </c>
      <c r="M366" s="124"/>
      <c r="N366" s="124"/>
      <c r="O366" s="131" t="s">
        <v>1028</v>
      </c>
      <c r="P366" s="131"/>
      <c r="Q366" s="124"/>
      <c r="R366" s="124"/>
      <c r="S366" s="124">
        <v>91.48</v>
      </c>
      <c r="T366" s="124"/>
      <c r="U366" s="124">
        <f>+S366</f>
        <v>91.48</v>
      </c>
      <c r="V366" s="124">
        <f>2.2/2</f>
        <v>1.1000000000000001</v>
      </c>
      <c r="W366" s="124"/>
      <c r="X366" s="101">
        <f t="shared" si="15"/>
        <v>0.91480000000000006</v>
      </c>
      <c r="Y366" s="133">
        <f>+V366</f>
        <v>1.1000000000000001</v>
      </c>
      <c r="Z366" s="106" t="str">
        <f t="shared" si="16"/>
        <v>F</v>
      </c>
      <c r="AA366" s="156"/>
      <c r="AB366" s="157"/>
    </row>
    <row r="367" spans="1:28" s="107" customFormat="1">
      <c r="A367" s="97">
        <v>174</v>
      </c>
      <c r="B367" s="98" t="s">
        <v>697</v>
      </c>
      <c r="C367" s="98">
        <v>2009</v>
      </c>
      <c r="D367" s="108" t="s">
        <v>698</v>
      </c>
      <c r="E367" s="99" t="s">
        <v>20</v>
      </c>
      <c r="F367" s="100" t="s">
        <v>701</v>
      </c>
      <c r="G367" s="98" t="s">
        <v>718</v>
      </c>
      <c r="H367" s="98" t="s">
        <v>146</v>
      </c>
      <c r="I367" s="98"/>
      <c r="J367" s="101" t="s">
        <v>1034</v>
      </c>
      <c r="K367" s="98" t="s">
        <v>1035</v>
      </c>
      <c r="L367" s="98" t="s">
        <v>232</v>
      </c>
      <c r="M367" s="109"/>
      <c r="N367" s="109"/>
      <c r="O367" s="98" t="s">
        <v>232</v>
      </c>
      <c r="P367" s="103"/>
      <c r="Q367" s="103"/>
      <c r="R367" s="98"/>
      <c r="S367" s="98"/>
      <c r="T367" s="98"/>
      <c r="U367" s="104">
        <v>0.91400000000000003</v>
      </c>
      <c r="V367" s="104"/>
      <c r="W367" s="104"/>
      <c r="X367" s="101">
        <f t="shared" si="15"/>
        <v>0.91400000000000003</v>
      </c>
      <c r="Y367" s="110">
        <v>2.2999999999999998</v>
      </c>
      <c r="Z367" s="106" t="str">
        <f t="shared" si="16"/>
        <v>F</v>
      </c>
      <c r="AA367" s="156"/>
      <c r="AB367" s="157"/>
    </row>
    <row r="368" spans="1:28" s="107" customFormat="1">
      <c r="A368" s="97">
        <v>174</v>
      </c>
      <c r="B368" s="98" t="s">
        <v>697</v>
      </c>
      <c r="C368" s="98">
        <v>2009</v>
      </c>
      <c r="D368" s="108" t="s">
        <v>698</v>
      </c>
      <c r="E368" s="99" t="s">
        <v>20</v>
      </c>
      <c r="F368" s="100" t="s">
        <v>701</v>
      </c>
      <c r="G368" s="98" t="s">
        <v>718</v>
      </c>
      <c r="H368" s="98" t="s">
        <v>146</v>
      </c>
      <c r="I368" s="98"/>
      <c r="J368" s="101" t="s">
        <v>1034</v>
      </c>
      <c r="K368" s="98" t="s">
        <v>1065</v>
      </c>
      <c r="L368" s="98" t="s">
        <v>740</v>
      </c>
      <c r="M368" s="109"/>
      <c r="N368" s="109"/>
      <c r="O368" s="98" t="s">
        <v>228</v>
      </c>
      <c r="P368" s="103"/>
      <c r="Q368" s="103"/>
      <c r="R368" s="98"/>
      <c r="S368" s="98"/>
      <c r="T368" s="98"/>
      <c r="U368" s="104">
        <v>0.91300000000000003</v>
      </c>
      <c r="V368" s="104"/>
      <c r="W368" s="104"/>
      <c r="X368" s="101">
        <f t="shared" si="15"/>
        <v>0.91300000000000003</v>
      </c>
      <c r="Y368" s="110">
        <v>1.7</v>
      </c>
      <c r="Z368" s="106" t="str">
        <f t="shared" si="16"/>
        <v>F</v>
      </c>
      <c r="AB368" s="135"/>
    </row>
    <row r="369" spans="1:28" s="107" customFormat="1">
      <c r="A369" s="97">
        <v>174</v>
      </c>
      <c r="B369" s="98" t="s">
        <v>697</v>
      </c>
      <c r="C369" s="98">
        <v>2009</v>
      </c>
      <c r="D369" s="108" t="s">
        <v>698</v>
      </c>
      <c r="E369" s="99" t="s">
        <v>20</v>
      </c>
      <c r="F369" s="100" t="s">
        <v>701</v>
      </c>
      <c r="G369" s="98" t="s">
        <v>718</v>
      </c>
      <c r="H369" s="98" t="s">
        <v>146</v>
      </c>
      <c r="I369" s="98"/>
      <c r="J369" s="101" t="s">
        <v>1034</v>
      </c>
      <c r="K369" s="98" t="s">
        <v>1043</v>
      </c>
      <c r="L369" s="98" t="s">
        <v>735</v>
      </c>
      <c r="M369" s="109"/>
      <c r="N369" s="109"/>
      <c r="O369" s="98" t="s">
        <v>166</v>
      </c>
      <c r="P369" s="103"/>
      <c r="Q369" s="103"/>
      <c r="R369" s="98"/>
      <c r="S369" s="98"/>
      <c r="T369" s="98"/>
      <c r="U369" s="104">
        <v>0.90900000000000003</v>
      </c>
      <c r="V369" s="104"/>
      <c r="W369" s="104"/>
      <c r="X369" s="101">
        <f t="shared" si="15"/>
        <v>0.90900000000000003</v>
      </c>
      <c r="Y369" s="110">
        <v>2.5</v>
      </c>
      <c r="Z369" s="106" t="str">
        <f t="shared" si="16"/>
        <v>F</v>
      </c>
    </row>
    <row r="370" spans="1:28" s="107" customFormat="1">
      <c r="A370" s="97">
        <v>174</v>
      </c>
      <c r="B370" s="98" t="s">
        <v>697</v>
      </c>
      <c r="C370" s="98">
        <v>2009</v>
      </c>
      <c r="D370" s="108" t="s">
        <v>698</v>
      </c>
      <c r="E370" s="99" t="s">
        <v>20</v>
      </c>
      <c r="F370" s="100" t="s">
        <v>701</v>
      </c>
      <c r="G370" s="98"/>
      <c r="H370" s="98"/>
      <c r="I370" s="98"/>
      <c r="J370" s="101" t="s">
        <v>1034</v>
      </c>
      <c r="K370" s="98" t="s">
        <v>1098</v>
      </c>
      <c r="L370" s="98" t="s">
        <v>722</v>
      </c>
      <c r="M370" s="109"/>
      <c r="N370" s="109"/>
      <c r="O370" s="98" t="s">
        <v>723</v>
      </c>
      <c r="P370" s="103"/>
      <c r="Q370" s="103"/>
      <c r="R370" s="98"/>
      <c r="S370" s="98"/>
      <c r="T370" s="98"/>
      <c r="U370" s="104">
        <v>0.90500000000000003</v>
      </c>
      <c r="V370" s="104"/>
      <c r="W370" s="104"/>
      <c r="X370" s="101">
        <f t="shared" si="15"/>
        <v>0.90500000000000003</v>
      </c>
      <c r="Y370" s="110">
        <v>3.3</v>
      </c>
      <c r="Z370" s="106" t="str">
        <f t="shared" si="16"/>
        <v>F</v>
      </c>
    </row>
    <row r="371" spans="1:28" s="107" customFormat="1">
      <c r="A371" s="97">
        <v>173</v>
      </c>
      <c r="B371" s="98" t="s">
        <v>585</v>
      </c>
      <c r="C371" s="98">
        <v>2011</v>
      </c>
      <c r="D371" s="108" t="s">
        <v>636</v>
      </c>
      <c r="E371" s="99" t="s">
        <v>638</v>
      </c>
      <c r="F371" s="100" t="s">
        <v>665</v>
      </c>
      <c r="G371" s="98" t="s">
        <v>595</v>
      </c>
      <c r="H371" s="98" t="s">
        <v>146</v>
      </c>
      <c r="I371" s="98"/>
      <c r="J371" s="101" t="s">
        <v>1034</v>
      </c>
      <c r="K371" s="98" t="s">
        <v>1079</v>
      </c>
      <c r="L371" s="98" t="s">
        <v>667</v>
      </c>
      <c r="M371" s="109"/>
      <c r="N371" s="109"/>
      <c r="O371" s="98" t="s">
        <v>668</v>
      </c>
      <c r="P371" s="103"/>
      <c r="Q371" s="103"/>
      <c r="R371" s="98"/>
      <c r="S371" s="98"/>
      <c r="T371" s="98"/>
      <c r="U371" s="104">
        <v>0.90300000000000002</v>
      </c>
      <c r="V371" s="104"/>
      <c r="W371" s="104"/>
      <c r="X371" s="101">
        <f t="shared" si="15"/>
        <v>0.90300000000000002</v>
      </c>
      <c r="Y371" s="122">
        <v>6.31</v>
      </c>
      <c r="Z371" s="106" t="str">
        <f t="shared" si="16"/>
        <v>F</v>
      </c>
    </row>
    <row r="372" spans="1:28" s="107" customFormat="1">
      <c r="A372" s="124"/>
      <c r="B372" s="131" t="s">
        <v>1025</v>
      </c>
      <c r="C372" s="132">
        <v>1996</v>
      </c>
      <c r="D372" s="124"/>
      <c r="E372" s="123" t="s">
        <v>49</v>
      </c>
      <c r="F372" s="124"/>
      <c r="G372" s="124"/>
      <c r="H372" s="131" t="s">
        <v>146</v>
      </c>
      <c r="I372" s="124"/>
      <c r="J372" s="124" t="s">
        <v>1034</v>
      </c>
      <c r="K372" s="103" t="s">
        <v>1035</v>
      </c>
      <c r="L372" s="131" t="s">
        <v>1033</v>
      </c>
      <c r="M372" s="124"/>
      <c r="N372" s="124"/>
      <c r="O372" s="131" t="s">
        <v>1029</v>
      </c>
      <c r="P372" s="124"/>
      <c r="Q372" s="124"/>
      <c r="R372" s="124"/>
      <c r="S372" s="124">
        <v>90.1</v>
      </c>
      <c r="T372" s="124"/>
      <c r="U372" s="124">
        <f>+S372</f>
        <v>90.1</v>
      </c>
      <c r="V372" s="124">
        <f>2.9/2</f>
        <v>1.45</v>
      </c>
      <c r="W372" s="124"/>
      <c r="X372" s="101">
        <f t="shared" si="15"/>
        <v>0.90099999999999991</v>
      </c>
      <c r="Y372" s="133">
        <f>+V372</f>
        <v>1.45</v>
      </c>
      <c r="Z372" s="106" t="str">
        <f t="shared" si="16"/>
        <v>F</v>
      </c>
      <c r="AA372" s="156"/>
      <c r="AB372" s="157"/>
    </row>
    <row r="373" spans="1:28" s="107" customFormat="1">
      <c r="A373" s="97">
        <v>66</v>
      </c>
      <c r="B373" s="103" t="s">
        <v>45</v>
      </c>
      <c r="C373" s="103">
        <v>1989</v>
      </c>
      <c r="D373" s="103" t="s">
        <v>187</v>
      </c>
      <c r="E373" s="99" t="s">
        <v>49</v>
      </c>
      <c r="F373" s="98" t="s">
        <v>195</v>
      </c>
      <c r="G373" s="98" t="s">
        <v>190</v>
      </c>
      <c r="H373" s="98" t="s">
        <v>146</v>
      </c>
      <c r="I373" s="98"/>
      <c r="J373" s="98" t="s">
        <v>1034</v>
      </c>
      <c r="K373" s="98" t="s">
        <v>1065</v>
      </c>
      <c r="L373" s="98" t="s">
        <v>196</v>
      </c>
      <c r="M373" s="98"/>
      <c r="N373" s="98"/>
      <c r="O373" s="98" t="s">
        <v>197</v>
      </c>
      <c r="P373" s="98"/>
      <c r="Q373" s="98"/>
      <c r="R373" s="98"/>
      <c r="S373" s="98"/>
      <c r="T373" s="98"/>
      <c r="U373" s="98"/>
      <c r="V373" s="98"/>
      <c r="W373" s="98"/>
      <c r="X373" s="101" t="str">
        <f t="shared" si="15"/>
        <v/>
      </c>
      <c r="Y373" s="111">
        <v>6.2</v>
      </c>
      <c r="Z373" s="106" t="s">
        <v>1193</v>
      </c>
    </row>
    <row r="374" spans="1:28" s="107" customFormat="1">
      <c r="A374" s="97">
        <v>174</v>
      </c>
      <c r="B374" s="98" t="s">
        <v>697</v>
      </c>
      <c r="C374" s="98">
        <v>2009</v>
      </c>
      <c r="D374" s="108" t="s">
        <v>698</v>
      </c>
      <c r="E374" s="99" t="s">
        <v>20</v>
      </c>
      <c r="F374" s="100" t="s">
        <v>701</v>
      </c>
      <c r="G374" s="98" t="s">
        <v>718</v>
      </c>
      <c r="H374" s="98" t="s">
        <v>146</v>
      </c>
      <c r="I374" s="98"/>
      <c r="J374" s="101" t="s">
        <v>1034</v>
      </c>
      <c r="K374" s="98" t="s">
        <v>1066</v>
      </c>
      <c r="L374" s="98" t="s">
        <v>234</v>
      </c>
      <c r="M374" s="109"/>
      <c r="N374" s="109"/>
      <c r="O374" s="98" t="s">
        <v>234</v>
      </c>
      <c r="P374" s="103"/>
      <c r="Q374" s="103"/>
      <c r="R374" s="98"/>
      <c r="S374" s="98"/>
      <c r="T374" s="98"/>
      <c r="U374" s="104">
        <v>0.89900000000000002</v>
      </c>
      <c r="V374" s="104"/>
      <c r="W374" s="104"/>
      <c r="X374" s="101">
        <f t="shared" si="15"/>
        <v>0.89900000000000002</v>
      </c>
      <c r="Y374" s="110">
        <v>3.8</v>
      </c>
      <c r="Z374" s="106" t="str">
        <f t="shared" ref="Z374:Z379" si="17">IF(X374&lt;&gt;"",IF(X374&lt;0.9,"S","F"),"")</f>
        <v>S</v>
      </c>
    </row>
    <row r="375" spans="1:28" s="107" customFormat="1">
      <c r="A375" s="124"/>
      <c r="B375" s="131" t="s">
        <v>1025</v>
      </c>
      <c r="C375" s="132">
        <v>1996</v>
      </c>
      <c r="D375" s="124"/>
      <c r="E375" s="123" t="s">
        <v>49</v>
      </c>
      <c r="F375" s="124"/>
      <c r="G375" s="124"/>
      <c r="H375" s="131" t="s">
        <v>146</v>
      </c>
      <c r="I375" s="124"/>
      <c r="J375" s="124" t="s">
        <v>1034</v>
      </c>
      <c r="K375" s="103" t="s">
        <v>1037</v>
      </c>
      <c r="L375" s="103" t="s">
        <v>1030</v>
      </c>
      <c r="M375" s="124"/>
      <c r="N375" s="124"/>
      <c r="O375" s="131" t="s">
        <v>1026</v>
      </c>
      <c r="P375" s="124"/>
      <c r="Q375" s="124"/>
      <c r="R375" s="124"/>
      <c r="S375" s="124">
        <v>89.82</v>
      </c>
      <c r="T375" s="124"/>
      <c r="U375" s="124">
        <f>+S375</f>
        <v>89.82</v>
      </c>
      <c r="V375" s="124">
        <f>4.1/2</f>
        <v>2.0499999999999998</v>
      </c>
      <c r="W375" s="124"/>
      <c r="X375" s="101">
        <f t="shared" si="15"/>
        <v>0.89819999999999989</v>
      </c>
      <c r="Y375" s="133">
        <f>+V375</f>
        <v>2.0499999999999998</v>
      </c>
      <c r="Z375" s="106" t="str">
        <f t="shared" si="17"/>
        <v>S</v>
      </c>
    </row>
    <row r="376" spans="1:28" s="107" customFormat="1">
      <c r="A376" s="97">
        <v>174</v>
      </c>
      <c r="B376" s="98" t="s">
        <v>697</v>
      </c>
      <c r="C376" s="98">
        <v>2009</v>
      </c>
      <c r="D376" s="108" t="s">
        <v>698</v>
      </c>
      <c r="E376" s="99" t="s">
        <v>20</v>
      </c>
      <c r="F376" s="100" t="s">
        <v>701</v>
      </c>
      <c r="G376" s="98" t="s">
        <v>714</v>
      </c>
      <c r="H376" s="98" t="s">
        <v>159</v>
      </c>
      <c r="I376" s="98"/>
      <c r="J376" s="101" t="s">
        <v>1034</v>
      </c>
      <c r="K376" s="98" t="s">
        <v>1101</v>
      </c>
      <c r="L376" s="98" t="s">
        <v>167</v>
      </c>
      <c r="M376" s="109"/>
      <c r="N376" s="109"/>
      <c r="O376" s="98" t="s">
        <v>167</v>
      </c>
      <c r="P376" s="103"/>
      <c r="Q376" s="103"/>
      <c r="R376" s="98"/>
      <c r="S376" s="98"/>
      <c r="T376" s="98"/>
      <c r="U376" s="104">
        <v>0.88900000000000001</v>
      </c>
      <c r="V376" s="104"/>
      <c r="W376" s="104"/>
      <c r="X376" s="101">
        <f t="shared" si="15"/>
        <v>0.88900000000000001</v>
      </c>
      <c r="Y376" s="110">
        <v>4.5999999999999996</v>
      </c>
      <c r="Z376" s="106" t="str">
        <f t="shared" si="17"/>
        <v>S</v>
      </c>
    </row>
    <row r="377" spans="1:28" s="107" customFormat="1">
      <c r="A377" s="124"/>
      <c r="B377" s="131" t="s">
        <v>1025</v>
      </c>
      <c r="C377" s="132">
        <v>1996</v>
      </c>
      <c r="D377" s="124"/>
      <c r="E377" s="123" t="s">
        <v>49</v>
      </c>
      <c r="F377" s="124"/>
      <c r="G377" s="124"/>
      <c r="H377" s="131" t="s">
        <v>146</v>
      </c>
      <c r="I377" s="124"/>
      <c r="J377" s="124" t="s">
        <v>1034</v>
      </c>
      <c r="K377" s="103" t="s">
        <v>1037</v>
      </c>
      <c r="L377" s="103" t="s">
        <v>1030</v>
      </c>
      <c r="M377" s="124"/>
      <c r="N377" s="124"/>
      <c r="O377" s="131" t="s">
        <v>1026</v>
      </c>
      <c r="P377" s="124"/>
      <c r="Q377" s="124"/>
      <c r="R377" s="124"/>
      <c r="S377" s="124"/>
      <c r="T377" s="124">
        <v>86.6</v>
      </c>
      <c r="U377" s="124">
        <f>+T377</f>
        <v>86.6</v>
      </c>
      <c r="V377" s="124"/>
      <c r="W377" s="124">
        <f>8.7/2</f>
        <v>4.3499999999999996</v>
      </c>
      <c r="X377" s="101">
        <f t="shared" si="15"/>
        <v>0.86599999999999999</v>
      </c>
      <c r="Y377" s="133">
        <f>+W377</f>
        <v>4.3499999999999996</v>
      </c>
      <c r="Z377" s="106" t="str">
        <f t="shared" si="17"/>
        <v>S</v>
      </c>
    </row>
    <row r="378" spans="1:28" s="107" customFormat="1">
      <c r="A378" s="124"/>
      <c r="B378" s="131" t="s">
        <v>1025</v>
      </c>
      <c r="C378" s="132">
        <v>1996</v>
      </c>
      <c r="D378" s="124"/>
      <c r="E378" s="123" t="s">
        <v>49</v>
      </c>
      <c r="F378" s="124"/>
      <c r="G378" s="124"/>
      <c r="H378" s="131" t="s">
        <v>146</v>
      </c>
      <c r="I378" s="124"/>
      <c r="J378" s="124" t="s">
        <v>1034</v>
      </c>
      <c r="K378" s="103" t="s">
        <v>1036</v>
      </c>
      <c r="L378" s="131" t="s">
        <v>1031</v>
      </c>
      <c r="M378" s="124"/>
      <c r="N378" s="124"/>
      <c r="O378" s="131" t="s">
        <v>1027</v>
      </c>
      <c r="P378" s="131"/>
      <c r="Q378" s="124"/>
      <c r="R378" s="124"/>
      <c r="S378" s="124"/>
      <c r="T378" s="124">
        <v>85.28</v>
      </c>
      <c r="U378" s="124">
        <f>+T378</f>
        <v>85.28</v>
      </c>
      <c r="V378" s="124"/>
      <c r="W378" s="124">
        <f>10.8/2</f>
        <v>5.4</v>
      </c>
      <c r="X378" s="101">
        <f t="shared" si="15"/>
        <v>0.8528</v>
      </c>
      <c r="Y378" s="133">
        <f>+W378</f>
        <v>5.4</v>
      </c>
      <c r="Z378" s="106" t="str">
        <f t="shared" si="17"/>
        <v>S</v>
      </c>
    </row>
    <row r="379" spans="1:28" s="107" customFormat="1">
      <c r="A379" s="124"/>
      <c r="B379" s="131" t="s">
        <v>1025</v>
      </c>
      <c r="C379" s="132">
        <v>1996</v>
      </c>
      <c r="D379" s="124"/>
      <c r="E379" s="123" t="s">
        <v>49</v>
      </c>
      <c r="F379" s="124"/>
      <c r="G379" s="124"/>
      <c r="H379" s="131" t="s">
        <v>146</v>
      </c>
      <c r="I379" s="124"/>
      <c r="J379" s="124" t="s">
        <v>1034</v>
      </c>
      <c r="K379" s="103" t="s">
        <v>1035</v>
      </c>
      <c r="L379" s="131" t="s">
        <v>1032</v>
      </c>
      <c r="M379" s="124"/>
      <c r="N379" s="124"/>
      <c r="O379" s="131" t="s">
        <v>1028</v>
      </c>
      <c r="P379" s="131"/>
      <c r="Q379" s="124"/>
      <c r="R379" s="124"/>
      <c r="S379" s="124"/>
      <c r="T379" s="124">
        <v>84.74</v>
      </c>
      <c r="U379" s="124">
        <f>+T379</f>
        <v>84.74</v>
      </c>
      <c r="V379" s="124"/>
      <c r="W379" s="124">
        <f>9.3/2</f>
        <v>4.6500000000000004</v>
      </c>
      <c r="X379" s="101">
        <f t="shared" si="15"/>
        <v>0.84739999999999993</v>
      </c>
      <c r="Y379" s="133">
        <f>+W379</f>
        <v>4.6500000000000004</v>
      </c>
      <c r="Z379" s="106" t="str">
        <f t="shared" si="17"/>
        <v>S</v>
      </c>
      <c r="AA379" s="156"/>
      <c r="AB379" s="156"/>
    </row>
    <row r="381" spans="1:28">
      <c r="A381" t="s">
        <v>1132</v>
      </c>
    </row>
    <row r="382" spans="1:28" s="46" customFormat="1">
      <c r="A382" s="3">
        <v>112</v>
      </c>
      <c r="B382" s="20" t="s">
        <v>322</v>
      </c>
      <c r="C382" s="20">
        <v>1996</v>
      </c>
      <c r="D382" s="20" t="s">
        <v>323</v>
      </c>
      <c r="E382" s="6" t="s">
        <v>20</v>
      </c>
      <c r="F382" s="5">
        <v>1996</v>
      </c>
      <c r="G382" s="5" t="s">
        <v>326</v>
      </c>
      <c r="H382" s="5" t="s">
        <v>159</v>
      </c>
      <c r="I382" s="5"/>
      <c r="J382" s="5" t="s">
        <v>1051</v>
      </c>
      <c r="K382" s="5" t="s">
        <v>1052</v>
      </c>
      <c r="L382" s="5" t="s">
        <v>346</v>
      </c>
      <c r="M382" s="5" t="s">
        <v>327</v>
      </c>
      <c r="N382" s="5"/>
      <c r="O382" s="5" t="s">
        <v>347</v>
      </c>
      <c r="P382" s="5"/>
      <c r="Q382" s="5"/>
      <c r="R382" s="5"/>
      <c r="S382" s="5">
        <v>0.98899999999999999</v>
      </c>
      <c r="T382" s="5">
        <v>0.874</v>
      </c>
      <c r="U382" s="5">
        <v>0.96099999999999997</v>
      </c>
      <c r="V382" s="5" t="s">
        <v>354</v>
      </c>
      <c r="W382" s="5" t="s">
        <v>355</v>
      </c>
      <c r="Y382" s="52"/>
    </row>
    <row r="383" spans="1:28" s="46" customFormat="1">
      <c r="A383" s="3">
        <v>112</v>
      </c>
      <c r="B383" s="20" t="s">
        <v>322</v>
      </c>
      <c r="C383" s="20">
        <v>1996</v>
      </c>
      <c r="D383" s="20" t="s">
        <v>323</v>
      </c>
      <c r="E383" s="6" t="s">
        <v>20</v>
      </c>
      <c r="F383" s="5">
        <v>1996</v>
      </c>
      <c r="G383" s="5" t="s">
        <v>326</v>
      </c>
      <c r="H383" s="5" t="s">
        <v>159</v>
      </c>
      <c r="I383" s="5"/>
      <c r="J383" s="5" t="s">
        <v>1051</v>
      </c>
      <c r="K383" s="5" t="s">
        <v>1052</v>
      </c>
      <c r="L383" s="5" t="s">
        <v>380</v>
      </c>
      <c r="M383" s="5" t="s">
        <v>381</v>
      </c>
      <c r="N383" s="5"/>
      <c r="O383" s="5" t="s">
        <v>382</v>
      </c>
      <c r="P383" s="5"/>
      <c r="Q383" s="5"/>
      <c r="R383" s="5"/>
      <c r="S383" s="5"/>
      <c r="T383" s="5"/>
      <c r="U383" s="5">
        <v>0.94199999999999995</v>
      </c>
      <c r="V383" s="5"/>
      <c r="W383" s="5"/>
      <c r="Y383" s="52"/>
    </row>
    <row r="384" spans="1:28" s="46" customFormat="1">
      <c r="A384" s="3">
        <v>112</v>
      </c>
      <c r="B384" s="20" t="s">
        <v>322</v>
      </c>
      <c r="C384" s="20">
        <v>1996</v>
      </c>
      <c r="D384" s="20" t="s">
        <v>323</v>
      </c>
      <c r="E384" s="6" t="s">
        <v>20</v>
      </c>
      <c r="F384" s="5">
        <v>1996</v>
      </c>
      <c r="G384" s="5" t="s">
        <v>326</v>
      </c>
      <c r="H384" s="5" t="s">
        <v>159</v>
      </c>
      <c r="I384" s="5"/>
      <c r="J384" s="5"/>
      <c r="K384" s="5"/>
      <c r="L384" s="5" t="s">
        <v>140</v>
      </c>
      <c r="M384" s="5" t="s">
        <v>327</v>
      </c>
      <c r="N384" s="5"/>
      <c r="O384" s="5" t="s">
        <v>337</v>
      </c>
      <c r="P384" s="5"/>
      <c r="Q384" s="5"/>
      <c r="R384" s="5"/>
      <c r="S384" s="5">
        <v>0.99</v>
      </c>
      <c r="T384" s="5">
        <v>0.82299999999999995</v>
      </c>
      <c r="U384" s="5">
        <v>0.96</v>
      </c>
      <c r="V384" s="5" t="s">
        <v>344</v>
      </c>
      <c r="W384" s="5" t="s">
        <v>345</v>
      </c>
      <c r="Y384" s="52"/>
    </row>
    <row r="385" spans="1:25" s="46" customFormat="1">
      <c r="A385" s="3">
        <v>112</v>
      </c>
      <c r="B385" s="20" t="s">
        <v>322</v>
      </c>
      <c r="C385" s="20">
        <v>1996</v>
      </c>
      <c r="D385" s="20" t="s">
        <v>323</v>
      </c>
      <c r="E385" s="6" t="s">
        <v>20</v>
      </c>
      <c r="F385" s="5">
        <v>1996</v>
      </c>
      <c r="G385" s="5" t="s">
        <v>326</v>
      </c>
      <c r="H385" s="5" t="s">
        <v>159</v>
      </c>
      <c r="I385" s="5"/>
      <c r="J385" s="5"/>
      <c r="K385" s="5"/>
      <c r="L385" s="5" t="s">
        <v>140</v>
      </c>
      <c r="M385" s="5" t="s">
        <v>327</v>
      </c>
      <c r="N385" s="5"/>
      <c r="O385" s="5" t="s">
        <v>328</v>
      </c>
      <c r="P385" s="5"/>
      <c r="Q385" s="5"/>
      <c r="R385" s="5"/>
      <c r="S385" s="5">
        <v>0.99</v>
      </c>
      <c r="T385" s="5">
        <v>0.83499999999999996</v>
      </c>
      <c r="U385" s="5">
        <v>0.95599999999999996</v>
      </c>
      <c r="V385" s="5" t="s">
        <v>335</v>
      </c>
      <c r="W385" s="5" t="s">
        <v>336</v>
      </c>
      <c r="Y385" s="52"/>
    </row>
    <row r="386" spans="1:25" s="46" customFormat="1">
      <c r="A386" s="3">
        <v>112</v>
      </c>
      <c r="B386" s="20" t="s">
        <v>322</v>
      </c>
      <c r="C386" s="20">
        <v>1996</v>
      </c>
      <c r="D386" s="20" t="s">
        <v>323</v>
      </c>
      <c r="E386" s="6" t="s">
        <v>20</v>
      </c>
      <c r="F386" s="5">
        <v>1996</v>
      </c>
      <c r="G386" s="5" t="s">
        <v>326</v>
      </c>
      <c r="H386" s="5" t="s">
        <v>159</v>
      </c>
      <c r="I386" s="5"/>
      <c r="J386" s="5" t="s">
        <v>1051</v>
      </c>
      <c r="K386" s="5" t="s">
        <v>1052</v>
      </c>
      <c r="L386" s="5" t="s">
        <v>376</v>
      </c>
      <c r="M386" s="5" t="s">
        <v>327</v>
      </c>
      <c r="N386" s="5"/>
      <c r="O386" s="5" t="s">
        <v>377</v>
      </c>
      <c r="P386" s="5"/>
      <c r="Q386" s="5"/>
      <c r="R386" s="5"/>
      <c r="S386" s="5"/>
      <c r="T386" s="5"/>
      <c r="U386" s="5">
        <v>0.88900000000000001</v>
      </c>
      <c r="V386" s="5"/>
      <c r="W386" s="5"/>
      <c r="Y386" s="52"/>
    </row>
    <row r="387" spans="1:25" s="46" customFormat="1">
      <c r="A387" s="3">
        <v>112</v>
      </c>
      <c r="B387" s="20" t="s">
        <v>322</v>
      </c>
      <c r="C387" s="20">
        <v>1996</v>
      </c>
      <c r="D387" s="20" t="s">
        <v>323</v>
      </c>
      <c r="E387" s="6" t="s">
        <v>20</v>
      </c>
      <c r="F387" s="5">
        <v>1996</v>
      </c>
      <c r="G387" s="5" t="s">
        <v>326</v>
      </c>
      <c r="H387" s="5" t="s">
        <v>159</v>
      </c>
      <c r="I387" s="5"/>
      <c r="J387" s="5"/>
      <c r="K387" s="5"/>
      <c r="L387" s="5" t="s">
        <v>366</v>
      </c>
      <c r="M387" s="5" t="s">
        <v>367</v>
      </c>
      <c r="N387" s="5"/>
      <c r="O387" s="5" t="s">
        <v>390</v>
      </c>
      <c r="P387" s="5"/>
      <c r="Q387" s="5"/>
      <c r="R387" s="5"/>
      <c r="S387" s="5">
        <v>0.98199999999999998</v>
      </c>
      <c r="T387" s="5">
        <v>0.86199999999999999</v>
      </c>
      <c r="U387" s="5">
        <v>0.96899999999999997</v>
      </c>
      <c r="V387" s="5" t="s">
        <v>397</v>
      </c>
      <c r="W387" s="5" t="s">
        <v>398</v>
      </c>
      <c r="Y387" s="52"/>
    </row>
    <row r="388" spans="1:25" s="46" customFormat="1">
      <c r="A388" s="3">
        <v>112</v>
      </c>
      <c r="B388" s="20" t="s">
        <v>322</v>
      </c>
      <c r="C388" s="20">
        <v>1996</v>
      </c>
      <c r="D388" s="20" t="s">
        <v>323</v>
      </c>
      <c r="E388" s="6" t="s">
        <v>20</v>
      </c>
      <c r="F388" s="5">
        <v>1996</v>
      </c>
      <c r="G388" s="5" t="s">
        <v>326</v>
      </c>
      <c r="H388" s="5" t="s">
        <v>159</v>
      </c>
      <c r="I388" s="5"/>
      <c r="J388" s="5" t="s">
        <v>1013</v>
      </c>
      <c r="K388" s="5" t="s">
        <v>1053</v>
      </c>
      <c r="L388" s="5" t="s">
        <v>385</v>
      </c>
      <c r="M388" s="5" t="s">
        <v>386</v>
      </c>
      <c r="N388" s="5"/>
      <c r="O388" s="5" t="s">
        <v>387</v>
      </c>
      <c r="P388" s="5"/>
      <c r="Q388" s="5"/>
      <c r="R388" s="5"/>
      <c r="S388" s="5"/>
      <c r="T388" s="5"/>
      <c r="U388" s="5">
        <v>0.91</v>
      </c>
      <c r="V388" s="5"/>
      <c r="W388" s="5"/>
      <c r="Y388" s="52"/>
    </row>
    <row r="389" spans="1:25" s="46" customFormat="1">
      <c r="A389" s="3">
        <v>112</v>
      </c>
      <c r="B389" s="20" t="s">
        <v>322</v>
      </c>
      <c r="C389" s="20">
        <v>1996</v>
      </c>
      <c r="D389" s="20" t="s">
        <v>323</v>
      </c>
      <c r="E389" s="6" t="s">
        <v>20</v>
      </c>
      <c r="F389" s="5">
        <v>1996</v>
      </c>
      <c r="G389" s="5" t="s">
        <v>326</v>
      </c>
      <c r="H389" s="5" t="s">
        <v>159</v>
      </c>
      <c r="I389" s="5"/>
      <c r="J389" s="5"/>
      <c r="K389" s="5"/>
      <c r="L389" s="5" t="s">
        <v>366</v>
      </c>
      <c r="M389" s="5" t="s">
        <v>367</v>
      </c>
      <c r="N389" s="5"/>
      <c r="O389" s="5" t="s">
        <v>368</v>
      </c>
      <c r="P389" s="5"/>
      <c r="Q389" s="5"/>
      <c r="R389" s="5"/>
      <c r="S389" s="5">
        <v>0.97799999999999998</v>
      </c>
      <c r="T389" s="5">
        <v>0.879</v>
      </c>
      <c r="U389" s="5">
        <v>0.96</v>
      </c>
      <c r="V389" s="5" t="s">
        <v>344</v>
      </c>
      <c r="W389" s="5" t="s">
        <v>375</v>
      </c>
      <c r="Y389" s="52"/>
    </row>
    <row r="390" spans="1:25" s="46" customFormat="1">
      <c r="A390" s="3">
        <v>112</v>
      </c>
      <c r="B390" s="20" t="s">
        <v>322</v>
      </c>
      <c r="C390" s="20">
        <v>1996</v>
      </c>
      <c r="D390" s="20" t="s">
        <v>323</v>
      </c>
      <c r="E390" s="6" t="s">
        <v>20</v>
      </c>
      <c r="F390" s="5">
        <v>1996</v>
      </c>
      <c r="G390" s="5" t="s">
        <v>326</v>
      </c>
      <c r="H390" s="5" t="s">
        <v>159</v>
      </c>
      <c r="I390" s="5"/>
      <c r="J390" s="5"/>
      <c r="K390" s="5"/>
      <c r="L390" s="5" t="s">
        <v>356</v>
      </c>
      <c r="M390" s="5" t="s">
        <v>327</v>
      </c>
      <c r="N390" s="5"/>
      <c r="O390" s="5" t="s">
        <v>357</v>
      </c>
      <c r="P390" s="5"/>
      <c r="Q390" s="5"/>
      <c r="R390" s="5"/>
      <c r="S390" s="5">
        <v>0.99399999999999999</v>
      </c>
      <c r="T390" s="5">
        <v>0.85799999999999998</v>
      </c>
      <c r="U390" s="5">
        <v>0.97299999999999998</v>
      </c>
      <c r="V390" s="5" t="s">
        <v>364</v>
      </c>
      <c r="W390" s="5" t="s">
        <v>365</v>
      </c>
      <c r="Y390" s="52"/>
    </row>
    <row r="392" spans="1:25">
      <c r="A392" t="s">
        <v>1024</v>
      </c>
    </row>
    <row r="393" spans="1:25">
      <c r="A393" s="3">
        <v>193</v>
      </c>
      <c r="B393" s="27" t="s">
        <v>911</v>
      </c>
      <c r="C393" s="28">
        <v>2001</v>
      </c>
      <c r="D393" s="27" t="s">
        <v>912</v>
      </c>
      <c r="E393" s="6" t="s">
        <v>915</v>
      </c>
      <c r="F393" s="5">
        <v>2001</v>
      </c>
      <c r="G393" s="5"/>
      <c r="H393" s="5"/>
      <c r="I393" s="5"/>
      <c r="J393" s="5"/>
      <c r="K393" s="5"/>
      <c r="L393" s="5" t="s">
        <v>919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5">
      <c r="A394" s="3">
        <v>193</v>
      </c>
      <c r="B394" s="27" t="s">
        <v>911</v>
      </c>
      <c r="C394" s="28">
        <v>2001</v>
      </c>
      <c r="D394" s="27" t="s">
        <v>912</v>
      </c>
      <c r="E394" s="6" t="s">
        <v>915</v>
      </c>
      <c r="F394" s="5">
        <v>2001</v>
      </c>
      <c r="G394" s="5"/>
      <c r="H394" s="5"/>
      <c r="I394" s="5"/>
      <c r="J394" s="5"/>
      <c r="K394" s="5"/>
      <c r="L394" s="5" t="s">
        <v>274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5">
      <c r="A395" s="3">
        <v>193</v>
      </c>
      <c r="B395" s="27" t="s">
        <v>911</v>
      </c>
      <c r="C395" s="28">
        <v>2001</v>
      </c>
      <c r="D395" s="27" t="s">
        <v>912</v>
      </c>
      <c r="E395" s="6" t="s">
        <v>915</v>
      </c>
      <c r="F395" s="5">
        <v>2001</v>
      </c>
      <c r="G395" s="5"/>
      <c r="H395" s="5"/>
      <c r="I395" s="5"/>
      <c r="J395" s="5"/>
      <c r="K395" s="5"/>
      <c r="L395" s="5" t="s">
        <v>916</v>
      </c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5">
      <c r="A396" s="3">
        <v>193</v>
      </c>
      <c r="B396" s="27" t="s">
        <v>911</v>
      </c>
      <c r="C396" s="28">
        <v>2001</v>
      </c>
      <c r="D396" s="27" t="s">
        <v>912</v>
      </c>
      <c r="E396" s="6" t="s">
        <v>915</v>
      </c>
      <c r="F396" s="5">
        <v>2001</v>
      </c>
      <c r="G396" s="5"/>
      <c r="H396" s="5"/>
      <c r="I396" s="5"/>
      <c r="J396" s="5"/>
      <c r="K396" s="5"/>
      <c r="L396" s="5" t="s">
        <v>918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5">
      <c r="A397" s="3">
        <v>193</v>
      </c>
      <c r="B397" s="27" t="s">
        <v>911</v>
      </c>
      <c r="C397" s="28">
        <v>2001</v>
      </c>
      <c r="D397" s="27" t="s">
        <v>912</v>
      </c>
      <c r="E397" s="6" t="s">
        <v>915</v>
      </c>
      <c r="F397" s="5">
        <v>2001</v>
      </c>
      <c r="G397" s="5"/>
      <c r="H397" s="5"/>
      <c r="I397" s="5"/>
      <c r="J397" s="5"/>
      <c r="K397" s="5"/>
      <c r="L397" s="5" t="s">
        <v>917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5">
      <c r="A398" s="3">
        <v>193</v>
      </c>
      <c r="B398" s="27" t="s">
        <v>911</v>
      </c>
      <c r="C398" s="28">
        <v>2001</v>
      </c>
      <c r="D398" s="27" t="s">
        <v>912</v>
      </c>
      <c r="E398" s="6" t="s">
        <v>915</v>
      </c>
      <c r="F398" s="5">
        <v>2001</v>
      </c>
      <c r="G398" s="5"/>
      <c r="H398" s="5"/>
      <c r="I398" s="5"/>
      <c r="J398" s="5"/>
      <c r="K398" s="5"/>
      <c r="L398" s="5" t="s">
        <v>273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5">
      <c r="A399" s="3">
        <v>193</v>
      </c>
      <c r="B399" s="5" t="s">
        <v>911</v>
      </c>
      <c r="C399" s="5">
        <v>2001</v>
      </c>
      <c r="D399" s="5" t="s">
        <v>912</v>
      </c>
      <c r="E399" s="6" t="s">
        <v>915</v>
      </c>
      <c r="F399" s="5">
        <v>2001</v>
      </c>
      <c r="G399" s="5"/>
      <c r="H399" s="5"/>
      <c r="I399" s="5"/>
      <c r="J399" s="5"/>
      <c r="K399" s="5"/>
      <c r="L399" s="5" t="s">
        <v>920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3" spans="1:23">
      <c r="A403" t="s">
        <v>1133</v>
      </c>
    </row>
    <row r="404" spans="1:23">
      <c r="A404" s="3">
        <v>80</v>
      </c>
      <c r="B404" s="5" t="s">
        <v>141</v>
      </c>
      <c r="C404" s="26">
        <v>1991</v>
      </c>
      <c r="D404" s="21" t="s">
        <v>201</v>
      </c>
      <c r="E404" s="6" t="s">
        <v>204</v>
      </c>
      <c r="F404" s="5">
        <v>1986</v>
      </c>
      <c r="G404" s="5" t="s">
        <v>213</v>
      </c>
      <c r="H404" s="5" t="s">
        <v>146</v>
      </c>
      <c r="I404" s="5"/>
      <c r="J404" s="5"/>
      <c r="K404" s="5"/>
      <c r="L404" s="5" t="s">
        <v>182</v>
      </c>
      <c r="M404" s="5"/>
      <c r="N404" s="5"/>
      <c r="O404" s="5" t="s">
        <v>148</v>
      </c>
      <c r="P404" s="5"/>
      <c r="Q404" s="5"/>
      <c r="R404" s="5"/>
      <c r="S404" s="5"/>
      <c r="T404" s="5"/>
      <c r="U404" s="5"/>
      <c r="V404" s="5"/>
      <c r="W404" s="5"/>
    </row>
    <row r="405" spans="1:23">
      <c r="A405" s="3">
        <v>80</v>
      </c>
      <c r="B405" s="5" t="s">
        <v>141</v>
      </c>
      <c r="C405" s="26">
        <v>1991</v>
      </c>
      <c r="D405" s="21" t="s">
        <v>201</v>
      </c>
      <c r="E405" s="6" t="s">
        <v>204</v>
      </c>
      <c r="F405" s="5">
        <v>1986</v>
      </c>
      <c r="G405" s="5" t="s">
        <v>205</v>
      </c>
      <c r="H405" s="5" t="s">
        <v>146</v>
      </c>
      <c r="I405" s="5"/>
      <c r="J405" s="5"/>
      <c r="K405" s="5"/>
      <c r="L405" s="5" t="s">
        <v>174</v>
      </c>
      <c r="M405" s="5"/>
      <c r="N405" s="5"/>
      <c r="O405" s="5" t="s">
        <v>206</v>
      </c>
      <c r="P405" s="5"/>
      <c r="Q405" s="5"/>
      <c r="R405" s="5"/>
      <c r="S405" s="5"/>
      <c r="T405" s="5"/>
      <c r="U405" s="5"/>
      <c r="V405" s="5"/>
      <c r="W405" s="5"/>
    </row>
    <row r="406" spans="1:23">
      <c r="A406" s="3">
        <v>80</v>
      </c>
      <c r="B406" s="5" t="s">
        <v>141</v>
      </c>
      <c r="C406" s="26">
        <v>1991</v>
      </c>
      <c r="D406" s="21" t="s">
        <v>201</v>
      </c>
      <c r="E406" s="6" t="s">
        <v>204</v>
      </c>
      <c r="F406" s="5">
        <v>1987</v>
      </c>
      <c r="G406" s="5" t="s">
        <v>205</v>
      </c>
      <c r="H406" s="5" t="s">
        <v>146</v>
      </c>
      <c r="I406" s="5"/>
      <c r="J406" s="5"/>
      <c r="K406" s="5"/>
      <c r="L406" s="5" t="s">
        <v>174</v>
      </c>
      <c r="M406" s="5"/>
      <c r="N406" s="5"/>
      <c r="O406" s="5" t="s">
        <v>150</v>
      </c>
      <c r="P406" s="5"/>
      <c r="Q406" s="5"/>
      <c r="R406" s="5"/>
      <c r="S406" s="5"/>
      <c r="T406" s="5"/>
      <c r="U406" s="5"/>
      <c r="V406" s="5"/>
      <c r="W406" s="5"/>
    </row>
    <row r="407" spans="1:23">
      <c r="A407" s="3">
        <v>80</v>
      </c>
      <c r="B407" s="5" t="s">
        <v>141</v>
      </c>
      <c r="C407" s="26">
        <v>1991</v>
      </c>
      <c r="D407" s="21" t="s">
        <v>201</v>
      </c>
      <c r="E407" s="6" t="s">
        <v>204</v>
      </c>
      <c r="F407" s="5">
        <v>1988</v>
      </c>
      <c r="G407" s="5" t="s">
        <v>217</v>
      </c>
      <c r="H407" s="5" t="s">
        <v>211</v>
      </c>
      <c r="I407" s="5"/>
      <c r="J407" s="5"/>
      <c r="K407" s="5"/>
      <c r="L407" s="5" t="s">
        <v>218</v>
      </c>
      <c r="M407" s="5"/>
      <c r="N407" s="5"/>
      <c r="O407" s="5" t="s">
        <v>219</v>
      </c>
      <c r="P407" s="5"/>
      <c r="Q407" s="5"/>
      <c r="R407" s="5"/>
      <c r="S407" s="5"/>
      <c r="T407" s="5"/>
      <c r="U407" s="5"/>
      <c r="V407" s="5"/>
      <c r="W407" s="5"/>
    </row>
    <row r="408" spans="1:23">
      <c r="A408" s="3">
        <v>80</v>
      </c>
      <c r="B408" s="5" t="s">
        <v>141</v>
      </c>
      <c r="C408" s="26">
        <v>1991</v>
      </c>
      <c r="D408" s="21" t="s">
        <v>201</v>
      </c>
      <c r="E408" s="6" t="s">
        <v>204</v>
      </c>
      <c r="F408" s="5">
        <v>1987</v>
      </c>
      <c r="G408" s="5" t="s">
        <v>181</v>
      </c>
      <c r="H408" s="5" t="s">
        <v>211</v>
      </c>
      <c r="I408" s="5"/>
      <c r="J408" s="5"/>
      <c r="K408" s="5"/>
      <c r="L408" s="5" t="s">
        <v>212</v>
      </c>
      <c r="M408" s="5"/>
      <c r="N408" s="5"/>
      <c r="O408" s="5" t="s">
        <v>152</v>
      </c>
      <c r="P408" s="5"/>
      <c r="Q408" s="5"/>
      <c r="R408" s="5"/>
      <c r="S408" s="5"/>
      <c r="T408" s="5"/>
      <c r="U408" s="5"/>
      <c r="V408" s="5"/>
      <c r="W408" s="5"/>
    </row>
    <row r="409" spans="1:23">
      <c r="A409" s="3">
        <v>80</v>
      </c>
      <c r="B409" s="5" t="s">
        <v>141</v>
      </c>
      <c r="C409" s="26">
        <v>1991</v>
      </c>
      <c r="D409" s="21" t="s">
        <v>201</v>
      </c>
      <c r="E409" s="6" t="s">
        <v>204</v>
      </c>
      <c r="F409" s="5">
        <v>1989</v>
      </c>
      <c r="G409" s="5" t="s">
        <v>220</v>
      </c>
      <c r="H409" s="5" t="s">
        <v>211</v>
      </c>
      <c r="I409" s="5"/>
      <c r="J409" s="5"/>
      <c r="K409" s="5"/>
      <c r="L409" s="5" t="s">
        <v>221</v>
      </c>
      <c r="M409" s="5"/>
      <c r="N409" s="5"/>
      <c r="O409" s="5" t="s">
        <v>222</v>
      </c>
      <c r="P409" s="5"/>
      <c r="Q409" s="5"/>
      <c r="R409" s="5"/>
      <c r="S409" s="5"/>
      <c r="T409" s="5"/>
      <c r="U409" s="5"/>
      <c r="V409" s="5"/>
      <c r="W409" s="5"/>
    </row>
    <row r="410" spans="1:23">
      <c r="A410" s="3">
        <v>80</v>
      </c>
      <c r="B410" s="5" t="s">
        <v>141</v>
      </c>
      <c r="C410" s="26">
        <v>1991</v>
      </c>
      <c r="D410" s="21" t="s">
        <v>201</v>
      </c>
      <c r="E410" s="6" t="s">
        <v>204</v>
      </c>
      <c r="F410" s="5">
        <v>1989</v>
      </c>
      <c r="G410" s="5" t="s">
        <v>181</v>
      </c>
      <c r="H410" s="5" t="s">
        <v>211</v>
      </c>
      <c r="I410" s="5"/>
      <c r="J410" s="5"/>
      <c r="K410" s="5"/>
      <c r="L410" s="5" t="s">
        <v>215</v>
      </c>
      <c r="M410" s="5"/>
      <c r="N410" s="5"/>
      <c r="O410" s="5" t="s">
        <v>216</v>
      </c>
      <c r="P410" s="5"/>
      <c r="Q410" s="5"/>
      <c r="R410" s="5"/>
      <c r="S410" s="5"/>
      <c r="T410" s="5"/>
      <c r="U410" s="5"/>
      <c r="V410" s="5"/>
      <c r="W410" s="5"/>
    </row>
    <row r="411" spans="1:23">
      <c r="A411" s="3">
        <v>80</v>
      </c>
      <c r="B411" s="5" t="s">
        <v>141</v>
      </c>
      <c r="C411" s="26">
        <v>1991</v>
      </c>
      <c r="D411" s="21" t="s">
        <v>201</v>
      </c>
      <c r="E411" s="6" t="s">
        <v>204</v>
      </c>
      <c r="F411" s="5">
        <v>1988</v>
      </c>
      <c r="G411" s="5" t="s">
        <v>185</v>
      </c>
      <c r="H411" s="5" t="s">
        <v>211</v>
      </c>
      <c r="I411" s="5"/>
      <c r="J411" s="5"/>
      <c r="K411" s="5"/>
      <c r="L411" s="5" t="s">
        <v>214</v>
      </c>
      <c r="M411" s="5"/>
      <c r="N411" s="5"/>
      <c r="O411" s="5" t="s">
        <v>186</v>
      </c>
      <c r="P411" s="5"/>
      <c r="Q411" s="5"/>
      <c r="R411" s="5"/>
      <c r="S411" s="5"/>
      <c r="T411" s="5"/>
      <c r="U411" s="5"/>
      <c r="V411" s="5"/>
      <c r="W411" s="5"/>
    </row>
    <row r="412" spans="1:23">
      <c r="A412" s="7">
        <v>80</v>
      </c>
      <c r="B412" s="9" t="s">
        <v>141</v>
      </c>
      <c r="C412" s="38">
        <v>1991</v>
      </c>
      <c r="D412" s="19" t="s">
        <v>201</v>
      </c>
      <c r="E412" s="10" t="s">
        <v>207</v>
      </c>
      <c r="F412" s="9">
        <v>1987</v>
      </c>
      <c r="G412" s="9" t="s">
        <v>210</v>
      </c>
      <c r="H412" s="9" t="s">
        <v>95</v>
      </c>
      <c r="I412" s="9"/>
      <c r="J412" s="9"/>
      <c r="K412" s="9"/>
      <c r="L412" s="9" t="s">
        <v>154</v>
      </c>
      <c r="M412" s="9"/>
      <c r="N412" s="9"/>
      <c r="O412" s="9" t="s">
        <v>155</v>
      </c>
      <c r="P412" s="9"/>
      <c r="Q412" s="9"/>
      <c r="R412" s="9"/>
      <c r="S412" s="9"/>
      <c r="T412" s="9"/>
      <c r="U412" s="9"/>
      <c r="V412" s="9"/>
      <c r="W412" s="9"/>
    </row>
    <row r="413" spans="1:23">
      <c r="A413" s="3">
        <v>80</v>
      </c>
      <c r="B413" s="5" t="s">
        <v>141</v>
      </c>
      <c r="C413" s="26">
        <v>1991</v>
      </c>
      <c r="D413" s="21" t="s">
        <v>201</v>
      </c>
      <c r="E413" s="6" t="s">
        <v>207</v>
      </c>
      <c r="F413" s="5">
        <v>1987</v>
      </c>
      <c r="G413" s="5" t="s">
        <v>208</v>
      </c>
      <c r="H413" s="5" t="s">
        <v>95</v>
      </c>
      <c r="I413" s="5"/>
      <c r="J413" s="5"/>
      <c r="K413" s="5"/>
      <c r="L413" s="5" t="s">
        <v>209</v>
      </c>
      <c r="M413" s="5"/>
      <c r="N413" s="5"/>
      <c r="O413" s="5" t="s">
        <v>178</v>
      </c>
      <c r="P413" s="5"/>
      <c r="Q413" s="5"/>
      <c r="R413" s="5"/>
      <c r="S413" s="5"/>
      <c r="T413" s="5"/>
      <c r="U413" s="5"/>
      <c r="V413" s="5"/>
      <c r="W413" s="5"/>
    </row>
    <row r="414" spans="1:23">
      <c r="A414" s="3">
        <v>88</v>
      </c>
      <c r="B414" s="27" t="s">
        <v>241</v>
      </c>
      <c r="C414" s="28">
        <v>1992</v>
      </c>
      <c r="D414" s="27" t="s">
        <v>242</v>
      </c>
      <c r="E414" s="6" t="s">
        <v>207</v>
      </c>
      <c r="F414" s="5">
        <v>1990</v>
      </c>
      <c r="G414" s="5" t="s">
        <v>263</v>
      </c>
      <c r="H414" s="5" t="s">
        <v>264</v>
      </c>
      <c r="I414" s="42" t="s">
        <v>1014</v>
      </c>
      <c r="J414" s="43" t="s">
        <v>1022</v>
      </c>
      <c r="K414" s="42" t="s">
        <v>1047</v>
      </c>
      <c r="L414" s="5" t="s">
        <v>265</v>
      </c>
      <c r="M414" s="5"/>
      <c r="N414" s="5"/>
      <c r="O414" s="5" t="s">
        <v>266</v>
      </c>
      <c r="P414" s="5"/>
      <c r="Q414" s="5"/>
      <c r="R414" s="5"/>
      <c r="S414" s="5"/>
      <c r="T414" s="5"/>
      <c r="U414" s="5"/>
      <c r="V414" s="5"/>
      <c r="W414" s="5"/>
    </row>
    <row r="415" spans="1:23">
      <c r="A415" s="3">
        <v>88</v>
      </c>
      <c r="B415" s="27" t="s">
        <v>241</v>
      </c>
      <c r="C415" s="28">
        <v>1992</v>
      </c>
      <c r="D415" s="27" t="s">
        <v>242</v>
      </c>
      <c r="E415" s="6" t="s">
        <v>204</v>
      </c>
      <c r="F415" s="5">
        <v>1989</v>
      </c>
      <c r="G415" s="5" t="s">
        <v>220</v>
      </c>
      <c r="H415" s="5" t="s">
        <v>261</v>
      </c>
      <c r="I415" s="5"/>
      <c r="J415" s="5"/>
      <c r="K415" s="5"/>
      <c r="L415" s="5" t="s">
        <v>262</v>
      </c>
      <c r="M415" s="5"/>
      <c r="N415" s="5"/>
      <c r="O415" s="5" t="s">
        <v>222</v>
      </c>
      <c r="P415" s="5"/>
      <c r="Q415" s="5"/>
      <c r="R415" s="5"/>
      <c r="S415" s="5"/>
      <c r="T415" s="5"/>
      <c r="U415" s="5"/>
      <c r="V415" s="5"/>
      <c r="W415" s="5"/>
    </row>
    <row r="416" spans="1:23">
      <c r="A416" s="3">
        <v>88</v>
      </c>
      <c r="B416" s="27" t="s">
        <v>241</v>
      </c>
      <c r="C416" s="28">
        <v>1992</v>
      </c>
      <c r="D416" s="27" t="s">
        <v>242</v>
      </c>
      <c r="E416" s="6" t="s">
        <v>204</v>
      </c>
      <c r="F416" s="5">
        <v>1986</v>
      </c>
      <c r="G416" s="5" t="s">
        <v>213</v>
      </c>
      <c r="H416" s="5" t="s">
        <v>146</v>
      </c>
      <c r="J416" s="43" t="s">
        <v>1034</v>
      </c>
      <c r="K416" s="42" t="s">
        <v>1040</v>
      </c>
      <c r="L416" s="5" t="s">
        <v>245</v>
      </c>
      <c r="M416" s="5"/>
      <c r="N416" s="5"/>
      <c r="O416" s="5" t="s">
        <v>148</v>
      </c>
      <c r="P416" s="5"/>
      <c r="Q416" s="5"/>
      <c r="R416" s="5"/>
      <c r="S416" s="5"/>
      <c r="T416" s="5"/>
      <c r="U416" s="5"/>
      <c r="V416" s="5"/>
      <c r="W416" s="5"/>
    </row>
    <row r="417" spans="1:23">
      <c r="A417" s="3">
        <v>88</v>
      </c>
      <c r="B417" s="27" t="s">
        <v>241</v>
      </c>
      <c r="C417" s="28">
        <v>1992</v>
      </c>
      <c r="D417" s="27" t="s">
        <v>242</v>
      </c>
      <c r="E417" s="6" t="s">
        <v>204</v>
      </c>
      <c r="F417" s="5">
        <v>1986</v>
      </c>
      <c r="G417" s="5" t="s">
        <v>205</v>
      </c>
      <c r="H417" s="5" t="s">
        <v>146</v>
      </c>
      <c r="J417" s="43" t="s">
        <v>1034</v>
      </c>
      <c r="K417" s="42" t="s">
        <v>1039</v>
      </c>
      <c r="L417" s="5" t="s">
        <v>246</v>
      </c>
      <c r="M417" s="5"/>
      <c r="N417" s="5"/>
      <c r="O417" s="5" t="s">
        <v>247</v>
      </c>
      <c r="P417" s="5"/>
      <c r="Q417" s="5"/>
      <c r="R417" s="5"/>
      <c r="S417" s="5"/>
      <c r="T417" s="5"/>
      <c r="U417" s="5"/>
      <c r="V417" s="5"/>
      <c r="W417" s="5"/>
    </row>
    <row r="418" spans="1:23">
      <c r="A418" s="3">
        <v>88</v>
      </c>
      <c r="B418" s="27" t="s">
        <v>241</v>
      </c>
      <c r="C418" s="28">
        <v>1992</v>
      </c>
      <c r="D418" s="27" t="s">
        <v>242</v>
      </c>
      <c r="E418" s="6" t="s">
        <v>204</v>
      </c>
      <c r="F418" s="5">
        <v>1987</v>
      </c>
      <c r="G418" s="5" t="s">
        <v>205</v>
      </c>
      <c r="H418" s="5" t="s">
        <v>146</v>
      </c>
      <c r="J418" s="43" t="s">
        <v>1034</v>
      </c>
      <c r="K418" s="42" t="s">
        <v>1039</v>
      </c>
      <c r="L418" s="5" t="s">
        <v>246</v>
      </c>
      <c r="M418" s="5"/>
      <c r="N418" s="5"/>
      <c r="O418" s="5" t="s">
        <v>248</v>
      </c>
      <c r="P418" s="5"/>
      <c r="Q418" s="5"/>
      <c r="R418" s="5"/>
      <c r="S418" s="5"/>
      <c r="T418" s="5"/>
      <c r="U418" s="5"/>
      <c r="V418" s="5"/>
      <c r="W418" s="5"/>
    </row>
    <row r="419" spans="1:23">
      <c r="A419" s="3">
        <v>88</v>
      </c>
      <c r="B419" s="27" t="s">
        <v>241</v>
      </c>
      <c r="C419" s="28">
        <v>1992</v>
      </c>
      <c r="D419" s="27" t="s">
        <v>242</v>
      </c>
      <c r="E419" s="6" t="s">
        <v>204</v>
      </c>
      <c r="F419" s="5">
        <v>1987</v>
      </c>
      <c r="G419" s="5" t="s">
        <v>254</v>
      </c>
      <c r="H419" s="5" t="s">
        <v>159</v>
      </c>
      <c r="J419" s="43" t="s">
        <v>1013</v>
      </c>
      <c r="K419" s="42" t="s">
        <v>1042</v>
      </c>
      <c r="L419" s="5" t="s">
        <v>255</v>
      </c>
      <c r="M419" s="5"/>
      <c r="N419" s="5"/>
      <c r="O419" s="5" t="s">
        <v>160</v>
      </c>
      <c r="P419" s="5"/>
      <c r="Q419" s="5"/>
      <c r="R419" s="5"/>
      <c r="S419" s="5"/>
      <c r="T419" s="5"/>
      <c r="U419" s="5"/>
      <c r="V419" s="5"/>
      <c r="W419" s="5"/>
    </row>
    <row r="420" spans="1:23">
      <c r="A420" s="3">
        <v>88</v>
      </c>
      <c r="B420" s="27" t="s">
        <v>241</v>
      </c>
      <c r="C420" s="28">
        <v>1992</v>
      </c>
      <c r="D420" s="27" t="s">
        <v>242</v>
      </c>
      <c r="E420" s="6" t="s">
        <v>204</v>
      </c>
      <c r="F420" s="5">
        <v>1987</v>
      </c>
      <c r="G420" s="5" t="s">
        <v>181</v>
      </c>
      <c r="H420" s="5" t="s">
        <v>249</v>
      </c>
      <c r="J420" s="43" t="s">
        <v>1048</v>
      </c>
      <c r="K420" s="42" t="s">
        <v>1048</v>
      </c>
      <c r="L420" s="5" t="s">
        <v>250</v>
      </c>
      <c r="M420" s="5"/>
      <c r="N420" s="5"/>
      <c r="O420" s="5" t="s">
        <v>152</v>
      </c>
      <c r="P420" s="5"/>
      <c r="Q420" s="5"/>
      <c r="R420" s="5"/>
      <c r="S420" s="5"/>
      <c r="T420" s="5"/>
      <c r="U420" s="5"/>
      <c r="V420" s="5"/>
      <c r="W420" s="5"/>
    </row>
    <row r="421" spans="1:23">
      <c r="A421" s="3">
        <v>88</v>
      </c>
      <c r="B421" s="27" t="s">
        <v>241</v>
      </c>
      <c r="C421" s="28">
        <v>1992</v>
      </c>
      <c r="D421" s="27" t="s">
        <v>242</v>
      </c>
      <c r="E421" s="6" t="s">
        <v>204</v>
      </c>
      <c r="F421" s="5">
        <v>1988</v>
      </c>
      <c r="G421" s="5" t="s">
        <v>185</v>
      </c>
      <c r="H421" s="5" t="s">
        <v>249</v>
      </c>
      <c r="J421" s="43" t="s">
        <v>1022</v>
      </c>
      <c r="K421" s="42" t="s">
        <v>1041</v>
      </c>
      <c r="L421" s="5" t="s">
        <v>256</v>
      </c>
      <c r="M421" s="5"/>
      <c r="N421" s="5"/>
      <c r="O421" s="5" t="s">
        <v>186</v>
      </c>
      <c r="P421" s="5"/>
      <c r="Q421" s="5"/>
      <c r="R421" s="5"/>
      <c r="S421" s="5"/>
      <c r="T421" s="5"/>
      <c r="U421" s="5"/>
      <c r="V421" s="5"/>
      <c r="W421" s="5"/>
    </row>
    <row r="422" spans="1:23">
      <c r="A422" s="3">
        <v>88</v>
      </c>
      <c r="B422" s="27" t="s">
        <v>241</v>
      </c>
      <c r="C422" s="28">
        <v>1992</v>
      </c>
      <c r="D422" s="27" t="s">
        <v>242</v>
      </c>
      <c r="E422" s="6" t="s">
        <v>204</v>
      </c>
      <c r="F422" s="5">
        <v>1989</v>
      </c>
      <c r="G422" s="5" t="s">
        <v>217</v>
      </c>
      <c r="H422" s="5" t="s">
        <v>249</v>
      </c>
      <c r="J422" s="43" t="s">
        <v>1049</v>
      </c>
      <c r="K422" s="42" t="s">
        <v>1049</v>
      </c>
      <c r="L422" s="5" t="s">
        <v>259</v>
      </c>
      <c r="M422" s="5"/>
      <c r="N422" s="5"/>
      <c r="O422" s="5" t="s">
        <v>260</v>
      </c>
      <c r="P422" s="5"/>
      <c r="Q422" s="5"/>
      <c r="R422" s="5"/>
      <c r="S422" s="5"/>
      <c r="T422" s="5"/>
      <c r="U422" s="5"/>
      <c r="V422" s="5"/>
      <c r="W422" s="5"/>
    </row>
    <row r="423" spans="1:23">
      <c r="A423" s="3">
        <v>88</v>
      </c>
      <c r="B423" s="27" t="s">
        <v>241</v>
      </c>
      <c r="C423" s="28">
        <v>1992</v>
      </c>
      <c r="D423" s="27" t="s">
        <v>242</v>
      </c>
      <c r="E423" s="6" t="s">
        <v>204</v>
      </c>
      <c r="F423" s="5">
        <v>1988</v>
      </c>
      <c r="G423" s="5" t="s">
        <v>185</v>
      </c>
      <c r="H423" s="5" t="s">
        <v>249</v>
      </c>
      <c r="J423" s="43" t="s">
        <v>1022</v>
      </c>
      <c r="K423" s="42" t="s">
        <v>1041</v>
      </c>
      <c r="L423" s="5" t="s">
        <v>256</v>
      </c>
      <c r="M423" s="5"/>
      <c r="N423" s="5"/>
      <c r="O423" s="5" t="s">
        <v>257</v>
      </c>
      <c r="P423" s="5"/>
      <c r="Q423" s="5"/>
      <c r="R423" s="5"/>
      <c r="S423" s="5"/>
      <c r="T423" s="5"/>
      <c r="U423" s="5"/>
      <c r="V423" s="5"/>
      <c r="W423" s="5"/>
    </row>
    <row r="424" spans="1:23">
      <c r="A424" s="3">
        <v>88</v>
      </c>
      <c r="B424" s="27" t="s">
        <v>241</v>
      </c>
      <c r="C424" s="28">
        <v>1992</v>
      </c>
      <c r="D424" s="27" t="s">
        <v>242</v>
      </c>
      <c r="E424" s="6" t="s">
        <v>204</v>
      </c>
      <c r="F424" s="5">
        <v>1989</v>
      </c>
      <c r="G424" s="5" t="s">
        <v>181</v>
      </c>
      <c r="H424" s="5" t="s">
        <v>249</v>
      </c>
      <c r="J424" s="43" t="s">
        <v>1049</v>
      </c>
      <c r="K424" s="42" t="s">
        <v>1049</v>
      </c>
      <c r="L424" s="5" t="s">
        <v>258</v>
      </c>
      <c r="M424" s="5"/>
      <c r="N424" s="5"/>
      <c r="O424" s="5" t="s">
        <v>216</v>
      </c>
      <c r="P424" s="5"/>
      <c r="Q424" s="5"/>
      <c r="R424" s="5"/>
      <c r="S424" s="5"/>
      <c r="T424" s="5"/>
      <c r="U424" s="5"/>
      <c r="V424" s="5"/>
      <c r="W424" s="5"/>
    </row>
    <row r="425" spans="1:23">
      <c r="A425" s="3">
        <v>88</v>
      </c>
      <c r="B425" s="27" t="s">
        <v>241</v>
      </c>
      <c r="C425" s="28">
        <v>1992</v>
      </c>
      <c r="D425" s="27" t="s">
        <v>242</v>
      </c>
      <c r="E425" s="6" t="s">
        <v>207</v>
      </c>
      <c r="F425" s="5">
        <v>1987</v>
      </c>
      <c r="G425" s="5" t="s">
        <v>210</v>
      </c>
      <c r="H425" s="5" t="s">
        <v>95</v>
      </c>
      <c r="I425" s="44" t="s">
        <v>1014</v>
      </c>
      <c r="J425" s="39" t="s">
        <v>1013</v>
      </c>
      <c r="K425" s="44" t="s">
        <v>1042</v>
      </c>
      <c r="L425" s="5" t="s">
        <v>253</v>
      </c>
      <c r="M425" s="5"/>
      <c r="N425" s="5"/>
      <c r="O425" s="5" t="s">
        <v>155</v>
      </c>
      <c r="P425" s="5"/>
      <c r="Q425" s="5"/>
      <c r="R425" s="5"/>
      <c r="S425" s="5"/>
      <c r="T425" s="5"/>
      <c r="U425" s="5"/>
      <c r="V425" s="5"/>
      <c r="W425" s="5"/>
    </row>
    <row r="426" spans="1:23">
      <c r="A426" s="3">
        <v>88</v>
      </c>
      <c r="B426" s="27" t="s">
        <v>241</v>
      </c>
      <c r="C426" s="28">
        <v>1992</v>
      </c>
      <c r="D426" s="27" t="s">
        <v>242</v>
      </c>
      <c r="E426" s="6" t="s">
        <v>207</v>
      </c>
      <c r="F426" s="5">
        <v>1987</v>
      </c>
      <c r="G426" s="5" t="s">
        <v>208</v>
      </c>
      <c r="H426" s="5" t="s">
        <v>95</v>
      </c>
      <c r="I426" s="42" t="s">
        <v>1014</v>
      </c>
      <c r="J426" s="43" t="s">
        <v>1013</v>
      </c>
      <c r="K426" s="42" t="s">
        <v>1042</v>
      </c>
      <c r="L426" s="5" t="s">
        <v>251</v>
      </c>
      <c r="M426" s="5"/>
      <c r="N426" s="5"/>
      <c r="O426" s="5" t="s">
        <v>252</v>
      </c>
      <c r="P426" s="5"/>
      <c r="Q426" s="5"/>
      <c r="R426" s="5"/>
      <c r="S426" s="5"/>
      <c r="T426" s="5"/>
      <c r="U426" s="5"/>
      <c r="V426" s="5"/>
      <c r="W426" s="5"/>
    </row>
    <row r="427" spans="1:23">
      <c r="A427" s="3">
        <v>139</v>
      </c>
      <c r="B427" s="4" t="s">
        <v>141</v>
      </c>
      <c r="C427" s="4">
        <v>1990</v>
      </c>
      <c r="D427" s="15" t="s">
        <v>500</v>
      </c>
      <c r="E427" s="6" t="s">
        <v>172</v>
      </c>
      <c r="F427" s="14">
        <v>31749</v>
      </c>
      <c r="G427" s="5" t="s">
        <v>213</v>
      </c>
      <c r="H427" s="5" t="s">
        <v>146</v>
      </c>
      <c r="I427" s="5"/>
      <c r="J427" s="5"/>
      <c r="K427" s="5"/>
      <c r="L427" s="5" t="s">
        <v>147</v>
      </c>
      <c r="M427" s="5"/>
      <c r="N427" s="5"/>
      <c r="O427" s="5" t="s">
        <v>502</v>
      </c>
      <c r="P427" s="5"/>
      <c r="Q427" s="5"/>
      <c r="R427" s="5"/>
      <c r="S427" s="5"/>
      <c r="T427" s="5"/>
      <c r="U427" s="5"/>
      <c r="V427" s="5"/>
      <c r="W427" s="5"/>
    </row>
    <row r="428" spans="1:23">
      <c r="A428" s="3">
        <v>139</v>
      </c>
      <c r="B428" s="4" t="s">
        <v>141</v>
      </c>
      <c r="C428" s="4">
        <v>1990</v>
      </c>
      <c r="D428" s="15" t="s">
        <v>500</v>
      </c>
      <c r="E428" s="6" t="s">
        <v>172</v>
      </c>
      <c r="F428" s="14">
        <v>31758</v>
      </c>
      <c r="G428" s="5" t="s">
        <v>503</v>
      </c>
      <c r="H428" s="5" t="s">
        <v>146</v>
      </c>
      <c r="I428" s="5"/>
      <c r="J428" s="5"/>
      <c r="K428" s="5"/>
      <c r="L428" s="5" t="s">
        <v>149</v>
      </c>
      <c r="M428" s="5"/>
      <c r="N428" s="5"/>
      <c r="O428" s="5" t="s">
        <v>504</v>
      </c>
      <c r="P428" s="5"/>
      <c r="Q428" s="5"/>
      <c r="R428" s="5"/>
      <c r="S428" s="5"/>
      <c r="T428" s="5"/>
      <c r="U428" s="5"/>
      <c r="V428" s="5"/>
      <c r="W428" s="5"/>
    </row>
    <row r="429" spans="1:23">
      <c r="A429" s="3">
        <v>139</v>
      </c>
      <c r="B429" s="4" t="s">
        <v>141</v>
      </c>
      <c r="C429" s="4">
        <v>1990</v>
      </c>
      <c r="D429" s="15" t="s">
        <v>500</v>
      </c>
      <c r="E429" s="6" t="s">
        <v>172</v>
      </c>
      <c r="F429" s="22">
        <v>31950</v>
      </c>
      <c r="G429" s="23" t="s">
        <v>503</v>
      </c>
      <c r="H429" s="23" t="s">
        <v>146</v>
      </c>
      <c r="I429" s="23"/>
      <c r="J429" s="23"/>
      <c r="K429" s="23"/>
      <c r="L429" s="17" t="s">
        <v>149</v>
      </c>
      <c r="M429" s="17"/>
      <c r="N429" s="17"/>
      <c r="O429" s="17" t="s">
        <v>505</v>
      </c>
      <c r="P429" s="17"/>
      <c r="Q429" s="17"/>
      <c r="R429" s="5"/>
      <c r="S429" s="5"/>
      <c r="T429" s="5"/>
      <c r="U429" s="31"/>
      <c r="V429" s="24"/>
      <c r="W429" s="24"/>
    </row>
    <row r="430" spans="1:23">
      <c r="A430" s="3">
        <v>139</v>
      </c>
      <c r="B430" s="4" t="s">
        <v>141</v>
      </c>
      <c r="C430" s="4">
        <v>1990</v>
      </c>
      <c r="D430" s="15" t="s">
        <v>500</v>
      </c>
      <c r="E430" s="6" t="s">
        <v>172</v>
      </c>
      <c r="F430" s="14">
        <v>32776</v>
      </c>
      <c r="G430" s="5" t="s">
        <v>220</v>
      </c>
      <c r="H430" s="5" t="s">
        <v>519</v>
      </c>
      <c r="I430" s="5"/>
      <c r="J430" s="5"/>
      <c r="K430" s="5"/>
      <c r="L430" s="5" t="s">
        <v>520</v>
      </c>
      <c r="M430" s="5"/>
      <c r="N430" s="5"/>
      <c r="O430" s="5" t="s">
        <v>521</v>
      </c>
      <c r="P430" s="5"/>
      <c r="Q430" s="5"/>
      <c r="R430" s="5"/>
      <c r="S430" s="5"/>
      <c r="T430" s="5"/>
      <c r="U430" s="5"/>
      <c r="V430" s="5"/>
      <c r="W430" s="5"/>
    </row>
    <row r="431" spans="1:23">
      <c r="A431" s="3">
        <v>139</v>
      </c>
      <c r="B431" s="4" t="s">
        <v>141</v>
      </c>
      <c r="C431" s="4">
        <v>1990</v>
      </c>
      <c r="D431" s="15" t="s">
        <v>500</v>
      </c>
      <c r="E431" s="6" t="s">
        <v>172</v>
      </c>
      <c r="F431" s="14">
        <v>32017</v>
      </c>
      <c r="G431" s="5" t="s">
        <v>181</v>
      </c>
      <c r="H431" s="5" t="s">
        <v>151</v>
      </c>
      <c r="I431" s="5"/>
      <c r="J431" s="5"/>
      <c r="K431" s="5"/>
      <c r="L431" s="5" t="s">
        <v>506</v>
      </c>
      <c r="M431" s="5"/>
      <c r="N431" s="5"/>
      <c r="O431" s="5" t="s">
        <v>507</v>
      </c>
      <c r="P431" s="5"/>
      <c r="Q431" s="5"/>
      <c r="R431" s="5"/>
      <c r="S431" s="5"/>
      <c r="T431" s="5"/>
      <c r="U431" s="5"/>
      <c r="V431" s="5"/>
      <c r="W431" s="5"/>
    </row>
    <row r="432" spans="1:23">
      <c r="A432" s="3">
        <v>139</v>
      </c>
      <c r="B432" s="4" t="s">
        <v>141</v>
      </c>
      <c r="C432" s="4">
        <v>1990</v>
      </c>
      <c r="D432" s="15" t="s">
        <v>500</v>
      </c>
      <c r="E432" s="6" t="s">
        <v>172</v>
      </c>
      <c r="F432" s="22">
        <v>32732</v>
      </c>
      <c r="G432" s="23" t="s">
        <v>217</v>
      </c>
      <c r="H432" s="23" t="s">
        <v>151</v>
      </c>
      <c r="I432" s="23"/>
      <c r="J432" s="23"/>
      <c r="K432" s="23"/>
      <c r="L432" s="17" t="s">
        <v>517</v>
      </c>
      <c r="M432" s="17"/>
      <c r="N432" s="17"/>
      <c r="O432" s="17" t="s">
        <v>518</v>
      </c>
      <c r="P432" s="17"/>
      <c r="Q432" s="17"/>
      <c r="R432" s="5"/>
      <c r="S432" s="5"/>
      <c r="T432" s="5"/>
      <c r="U432" s="31"/>
      <c r="V432" s="24"/>
      <c r="W432" s="24"/>
    </row>
    <row r="433" spans="1:25">
      <c r="A433" s="3">
        <v>139</v>
      </c>
      <c r="B433" s="4" t="s">
        <v>141</v>
      </c>
      <c r="C433" s="4">
        <v>1990</v>
      </c>
      <c r="D433" s="15" t="s">
        <v>500</v>
      </c>
      <c r="E433" s="6" t="s">
        <v>172</v>
      </c>
      <c r="F433" s="14">
        <v>32730</v>
      </c>
      <c r="G433" s="5" t="s">
        <v>181</v>
      </c>
      <c r="H433" s="5" t="s">
        <v>151</v>
      </c>
      <c r="I433" s="5"/>
      <c r="J433" s="5"/>
      <c r="K433" s="5"/>
      <c r="L433" s="5" t="s">
        <v>515</v>
      </c>
      <c r="M433" s="5"/>
      <c r="N433" s="5"/>
      <c r="O433" s="5" t="s">
        <v>516</v>
      </c>
      <c r="P433" s="5"/>
      <c r="Q433" s="5"/>
      <c r="R433" s="5"/>
      <c r="S433" s="5"/>
      <c r="T433" s="5"/>
      <c r="U433" s="5"/>
      <c r="V433" s="5"/>
      <c r="W433" s="5"/>
    </row>
    <row r="434" spans="1:25">
      <c r="A434" s="3">
        <v>139</v>
      </c>
      <c r="B434" s="4" t="s">
        <v>141</v>
      </c>
      <c r="C434" s="4">
        <v>1990</v>
      </c>
      <c r="D434" s="15" t="s">
        <v>500</v>
      </c>
      <c r="E434" s="6" t="s">
        <v>172</v>
      </c>
      <c r="F434" s="14">
        <v>32367</v>
      </c>
      <c r="G434" s="5" t="s">
        <v>185</v>
      </c>
      <c r="H434" s="5" t="s">
        <v>151</v>
      </c>
      <c r="I434" s="5"/>
      <c r="J434" s="5"/>
      <c r="K434" s="5"/>
      <c r="L434" s="5" t="s">
        <v>184</v>
      </c>
      <c r="M434" s="5"/>
      <c r="N434" s="5"/>
      <c r="O434" s="5" t="s">
        <v>514</v>
      </c>
      <c r="P434" s="5"/>
      <c r="Q434" s="5"/>
      <c r="R434" s="5"/>
      <c r="S434" s="5"/>
      <c r="T434" s="5"/>
      <c r="U434" s="5"/>
      <c r="V434" s="5"/>
      <c r="W434" s="5"/>
    </row>
    <row r="435" spans="1:25">
      <c r="A435" s="3">
        <v>139</v>
      </c>
      <c r="B435" s="4" t="s">
        <v>141</v>
      </c>
      <c r="C435" s="4">
        <v>1990</v>
      </c>
      <c r="D435" s="15" t="s">
        <v>500</v>
      </c>
      <c r="E435" s="6" t="s">
        <v>172</v>
      </c>
      <c r="F435" s="5" t="s">
        <v>511</v>
      </c>
      <c r="G435" s="5" t="s">
        <v>210</v>
      </c>
      <c r="H435" s="5" t="s">
        <v>95</v>
      </c>
      <c r="I435" s="5"/>
      <c r="J435" s="5"/>
      <c r="K435" s="5"/>
      <c r="L435" s="5" t="s">
        <v>512</v>
      </c>
      <c r="M435" s="5"/>
      <c r="N435" s="5"/>
      <c r="O435" s="5" t="s">
        <v>513</v>
      </c>
      <c r="P435" s="5"/>
      <c r="Q435" s="5"/>
      <c r="R435" s="5"/>
      <c r="S435" s="5"/>
      <c r="T435" s="5"/>
      <c r="U435" s="5"/>
      <c r="V435" s="5"/>
      <c r="W435" s="5"/>
    </row>
    <row r="436" spans="1:25">
      <c r="A436" s="3">
        <v>139</v>
      </c>
      <c r="B436" s="4" t="s">
        <v>141</v>
      </c>
      <c r="C436" s="4">
        <v>1990</v>
      </c>
      <c r="D436" s="15" t="s">
        <v>500</v>
      </c>
      <c r="E436" s="6" t="s">
        <v>172</v>
      </c>
      <c r="F436" s="14">
        <v>32022</v>
      </c>
      <c r="G436" s="5" t="s">
        <v>508</v>
      </c>
      <c r="H436" s="5" t="s">
        <v>95</v>
      </c>
      <c r="I436" s="5"/>
      <c r="J436" s="5"/>
      <c r="K436" s="5"/>
      <c r="L436" s="5" t="s">
        <v>509</v>
      </c>
      <c r="M436" s="5"/>
      <c r="N436" s="5"/>
      <c r="O436" s="5" t="s">
        <v>510</v>
      </c>
      <c r="P436" s="5"/>
      <c r="Q436" s="5"/>
      <c r="R436" s="5"/>
      <c r="S436" s="5"/>
      <c r="T436" s="5"/>
      <c r="U436" s="5"/>
      <c r="V436" s="5"/>
      <c r="W436" s="5"/>
    </row>
    <row r="437" spans="1:25">
      <c r="A437" s="54" t="s">
        <v>1225</v>
      </c>
      <c r="B437" s="4"/>
      <c r="C437" s="4"/>
      <c r="D437" s="15"/>
      <c r="E437" s="6"/>
      <c r="F437" s="1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5">
      <c r="A438" s="53">
        <v>63</v>
      </c>
      <c r="B438" s="60" t="s">
        <v>168</v>
      </c>
      <c r="C438" s="60">
        <v>1989</v>
      </c>
      <c r="D438" s="60" t="s">
        <v>169</v>
      </c>
      <c r="E438" s="90" t="s">
        <v>172</v>
      </c>
      <c r="F438" s="77">
        <v>32017</v>
      </c>
      <c r="G438" s="54" t="s">
        <v>181</v>
      </c>
      <c r="H438" s="78" t="s">
        <v>1135</v>
      </c>
      <c r="I438" s="78"/>
      <c r="J438" s="66" t="s">
        <v>1034</v>
      </c>
      <c r="K438" s="78" t="s">
        <v>1040</v>
      </c>
      <c r="L438" s="79" t="s">
        <v>182</v>
      </c>
      <c r="M438" s="79"/>
      <c r="N438" s="79"/>
      <c r="O438" s="79" t="s">
        <v>152</v>
      </c>
      <c r="P438" s="79"/>
      <c r="Q438" s="79"/>
      <c r="R438" s="54"/>
      <c r="S438" s="54"/>
      <c r="T438" s="54"/>
      <c r="U438" s="79"/>
      <c r="V438" s="81"/>
      <c r="W438" s="81"/>
      <c r="X438" s="66" t="str">
        <f>IF(R438&lt;&gt;0,IF(R438&gt;1,R438/100,R438),IF(U438&lt;&gt;0,IF(U438&gt;1,U438/100,U438),""))</f>
        <v/>
      </c>
      <c r="Y438" s="82">
        <v>1.9</v>
      </c>
    </row>
    <row r="439" spans="1:25">
      <c r="A439" s="53"/>
      <c r="B439" s="60"/>
      <c r="C439" s="60"/>
      <c r="D439" s="60"/>
      <c r="E439" s="90"/>
      <c r="F439" s="77"/>
      <c r="G439" s="54"/>
      <c r="H439" s="78"/>
      <c r="I439" s="78"/>
      <c r="J439" s="66"/>
      <c r="K439" s="78"/>
      <c r="L439" s="79"/>
      <c r="M439" s="79"/>
      <c r="N439" s="79"/>
      <c r="O439" s="79"/>
      <c r="P439" s="79"/>
      <c r="Q439" s="79"/>
      <c r="R439" s="54"/>
      <c r="S439" s="54"/>
      <c r="T439" s="54"/>
      <c r="U439" s="79"/>
      <c r="V439" s="81"/>
      <c r="W439" s="81"/>
      <c r="X439" s="66"/>
      <c r="Y439" s="82"/>
    </row>
    <row r="440" spans="1:25">
      <c r="A440" t="s">
        <v>1137</v>
      </c>
    </row>
    <row r="441" spans="1:25">
      <c r="A441" s="7">
        <v>121</v>
      </c>
      <c r="B441" s="13" t="s">
        <v>427</v>
      </c>
      <c r="C441" s="13">
        <v>2002</v>
      </c>
      <c r="D441" s="13" t="s">
        <v>428</v>
      </c>
      <c r="E441" s="10" t="s">
        <v>430</v>
      </c>
      <c r="F441" s="9">
        <v>2002</v>
      </c>
      <c r="G441" s="9" t="s">
        <v>457</v>
      </c>
      <c r="H441" s="9"/>
      <c r="I441" s="9"/>
      <c r="J441" s="9"/>
      <c r="K441" s="9"/>
      <c r="L441" s="9" t="s">
        <v>453</v>
      </c>
      <c r="M441" s="9" t="s">
        <v>458</v>
      </c>
      <c r="N441" s="9" t="s">
        <v>459</v>
      </c>
      <c r="O441" s="9" t="s">
        <v>460</v>
      </c>
      <c r="P441" s="9"/>
      <c r="Q441" s="9"/>
      <c r="R441" s="9"/>
      <c r="S441" s="9"/>
      <c r="T441" s="9"/>
      <c r="U441" s="9"/>
      <c r="V441" s="9"/>
      <c r="W441" s="9"/>
    </row>
    <row r="443" spans="1:25">
      <c r="A443" t="s">
        <v>749</v>
      </c>
    </row>
    <row r="444" spans="1:25">
      <c r="A444" s="3">
        <v>174</v>
      </c>
      <c r="B444" s="5" t="s">
        <v>697</v>
      </c>
      <c r="C444" s="5">
        <v>2009</v>
      </c>
      <c r="D444" s="15" t="s">
        <v>698</v>
      </c>
      <c r="E444" s="6" t="s">
        <v>20</v>
      </c>
      <c r="F444" s="34" t="s">
        <v>701</v>
      </c>
      <c r="G444" s="5" t="s">
        <v>749</v>
      </c>
      <c r="H444" s="5" t="s">
        <v>749</v>
      </c>
      <c r="I444" s="5"/>
      <c r="L444" s="5" t="s">
        <v>757</v>
      </c>
      <c r="M444" s="29"/>
      <c r="N444" s="29"/>
      <c r="O444" s="5" t="s">
        <v>757</v>
      </c>
      <c r="P444" s="20"/>
      <c r="Q444" s="20"/>
      <c r="R444" s="5"/>
      <c r="S444" s="5"/>
      <c r="T444" s="5"/>
      <c r="U444" s="33">
        <v>0.95199999999999996</v>
      </c>
      <c r="V444" s="33"/>
      <c r="W444" s="33"/>
    </row>
    <row r="445" spans="1:25">
      <c r="A445" s="3">
        <v>174</v>
      </c>
      <c r="B445" s="5" t="s">
        <v>697</v>
      </c>
      <c r="C445" s="5">
        <v>2009</v>
      </c>
      <c r="D445" s="15" t="s">
        <v>698</v>
      </c>
      <c r="E445" s="6" t="s">
        <v>20</v>
      </c>
      <c r="F445" s="34" t="s">
        <v>701</v>
      </c>
      <c r="G445" s="5" t="s">
        <v>749</v>
      </c>
      <c r="H445" s="5" t="s">
        <v>749</v>
      </c>
      <c r="I445" s="5"/>
      <c r="J445" s="46" t="s">
        <v>1093</v>
      </c>
      <c r="K445" s="47" t="s">
        <v>1097</v>
      </c>
      <c r="L445" s="5" t="s">
        <v>750</v>
      </c>
      <c r="M445" s="29"/>
      <c r="N445" s="29"/>
      <c r="O445" s="5" t="s">
        <v>751</v>
      </c>
      <c r="P445" s="20"/>
      <c r="Q445" s="20"/>
      <c r="R445" s="5"/>
      <c r="S445" s="5"/>
      <c r="T445" s="5"/>
      <c r="U445" s="33">
        <v>0.94299999999999995</v>
      </c>
      <c r="V445" s="33"/>
      <c r="W445" s="33"/>
    </row>
    <row r="446" spans="1:25">
      <c r="A446" t="s">
        <v>1147</v>
      </c>
    </row>
    <row r="447" spans="1:25">
      <c r="A447" s="3">
        <v>174</v>
      </c>
      <c r="B447" s="5" t="s">
        <v>697</v>
      </c>
      <c r="C447" s="5">
        <v>2009</v>
      </c>
      <c r="D447" s="15" t="s">
        <v>698</v>
      </c>
      <c r="E447" s="6" t="s">
        <v>20</v>
      </c>
      <c r="F447" s="34" t="s">
        <v>701</v>
      </c>
      <c r="G447" s="5" t="s">
        <v>733</v>
      </c>
      <c r="H447" s="5"/>
      <c r="I447" s="5"/>
      <c r="J447" s="46" t="s">
        <v>1093</v>
      </c>
      <c r="K447" s="42" t="s">
        <v>1100</v>
      </c>
      <c r="L447" s="5" t="s">
        <v>734</v>
      </c>
      <c r="M447" s="29"/>
      <c r="N447" s="29"/>
      <c r="O447" s="5" t="s">
        <v>734</v>
      </c>
      <c r="P447" s="20"/>
      <c r="Q447" s="20"/>
      <c r="R447" s="5"/>
      <c r="S447" s="5"/>
      <c r="T447" s="5"/>
      <c r="U447" s="33">
        <v>0.91100000000000003</v>
      </c>
      <c r="V447" s="33"/>
      <c r="W447" s="33"/>
    </row>
    <row r="448" spans="1:25">
      <c r="A448" s="3">
        <v>174</v>
      </c>
      <c r="B448" s="5" t="s">
        <v>697</v>
      </c>
      <c r="C448" s="5">
        <v>2009</v>
      </c>
      <c r="D448" s="15" t="s">
        <v>698</v>
      </c>
      <c r="E448" s="6" t="s">
        <v>20</v>
      </c>
      <c r="F448" s="34" t="s">
        <v>701</v>
      </c>
      <c r="G448" s="5" t="s">
        <v>758</v>
      </c>
      <c r="H448" s="5"/>
      <c r="I448" s="5"/>
      <c r="L448" s="5" t="s">
        <v>759</v>
      </c>
      <c r="M448" s="29"/>
      <c r="N448" s="29"/>
      <c r="O448" s="5" t="s">
        <v>759</v>
      </c>
      <c r="P448" s="20"/>
      <c r="Q448" s="20"/>
      <c r="R448" s="5"/>
      <c r="S448" s="5"/>
      <c r="T448" s="5"/>
      <c r="U448" s="33">
        <v>0.97699999999999998</v>
      </c>
      <c r="V448" s="33"/>
      <c r="W448" s="33"/>
    </row>
    <row r="450" spans="1:24">
      <c r="A450" t="s">
        <v>1153</v>
      </c>
    </row>
    <row r="453" spans="1:24">
      <c r="A453" t="s">
        <v>1173</v>
      </c>
    </row>
    <row r="454" spans="1:24">
      <c r="A454" s="3">
        <v>35</v>
      </c>
      <c r="B454" s="4" t="s">
        <v>45</v>
      </c>
      <c r="C454" s="4">
        <v>1982</v>
      </c>
      <c r="D454" s="4" t="s">
        <v>46</v>
      </c>
      <c r="E454" s="6" t="s">
        <v>49</v>
      </c>
      <c r="F454" s="5" t="s">
        <v>50</v>
      </c>
      <c r="G454" s="5" t="s">
        <v>51</v>
      </c>
      <c r="H454" s="5" t="s">
        <v>23</v>
      </c>
      <c r="I454" s="5"/>
      <c r="J454" s="5" t="s">
        <v>1013</v>
      </c>
      <c r="K454" s="5" t="s">
        <v>1134</v>
      </c>
      <c r="L454" s="5" t="s">
        <v>52</v>
      </c>
      <c r="M454" s="5"/>
      <c r="N454" s="5"/>
      <c r="O454" s="5" t="s">
        <v>67</v>
      </c>
      <c r="P454" s="5">
        <v>0.9</v>
      </c>
      <c r="Q454" s="5">
        <v>0.84</v>
      </c>
      <c r="R454" s="5"/>
      <c r="S454" s="5"/>
      <c r="T454" s="5"/>
      <c r="U454" s="5"/>
      <c r="V454" s="5">
        <v>3.4</v>
      </c>
      <c r="W454" s="5">
        <v>6.7</v>
      </c>
    </row>
    <row r="455" spans="1:24">
      <c r="A455" s="3">
        <v>35</v>
      </c>
      <c r="B455" s="4" t="s">
        <v>45</v>
      </c>
      <c r="C455" s="4">
        <v>1982</v>
      </c>
      <c r="D455" s="4" t="s">
        <v>46</v>
      </c>
      <c r="E455" s="6" t="s">
        <v>49</v>
      </c>
      <c r="F455" s="5" t="s">
        <v>50</v>
      </c>
      <c r="G455" s="5" t="s">
        <v>51</v>
      </c>
      <c r="H455" s="5" t="s">
        <v>23</v>
      </c>
      <c r="I455" s="5"/>
      <c r="J455" s="5" t="s">
        <v>1013</v>
      </c>
      <c r="K455" s="5" t="s">
        <v>1134</v>
      </c>
      <c r="L455" s="5" t="s">
        <v>52</v>
      </c>
      <c r="M455" s="5"/>
      <c r="N455" s="5"/>
      <c r="O455" s="5" t="s">
        <v>71</v>
      </c>
      <c r="P455" s="5">
        <v>0.84</v>
      </c>
      <c r="Q455" s="5">
        <v>0.74</v>
      </c>
      <c r="R455" s="5"/>
      <c r="S455" s="5"/>
      <c r="T455" s="5"/>
      <c r="U455" s="5"/>
      <c r="V455" s="5">
        <v>5</v>
      </c>
      <c r="W455" s="5">
        <v>8.9</v>
      </c>
    </row>
    <row r="456" spans="1:24">
      <c r="A456" s="3">
        <v>35</v>
      </c>
      <c r="B456" s="4" t="s">
        <v>45</v>
      </c>
      <c r="C456" s="4">
        <v>1982</v>
      </c>
      <c r="D456" s="4" t="s">
        <v>46</v>
      </c>
      <c r="E456" s="6" t="s">
        <v>49</v>
      </c>
      <c r="F456" s="5" t="s">
        <v>50</v>
      </c>
      <c r="G456" s="5" t="s">
        <v>51</v>
      </c>
      <c r="H456" s="5" t="s">
        <v>23</v>
      </c>
      <c r="I456" s="5"/>
      <c r="J456" s="5" t="s">
        <v>1013</v>
      </c>
      <c r="K456" s="5" t="s">
        <v>1134</v>
      </c>
      <c r="L456" s="5" t="s">
        <v>52</v>
      </c>
      <c r="M456" s="5"/>
      <c r="N456" s="5"/>
      <c r="O456" s="5" t="s">
        <v>70</v>
      </c>
      <c r="P456" s="5"/>
      <c r="Q456" s="5">
        <v>0.78</v>
      </c>
      <c r="R456" s="5"/>
      <c r="S456" s="5"/>
      <c r="T456" s="5"/>
      <c r="U456" s="5"/>
      <c r="V456" s="5"/>
      <c r="W456" s="5">
        <v>9.4</v>
      </c>
    </row>
    <row r="457" spans="1:24">
      <c r="A457" s="3">
        <v>35</v>
      </c>
      <c r="B457" s="4" t="s">
        <v>45</v>
      </c>
      <c r="C457" s="4">
        <v>1982</v>
      </c>
      <c r="D457" s="4" t="s">
        <v>46</v>
      </c>
      <c r="E457" s="6" t="s">
        <v>49</v>
      </c>
      <c r="F457" s="5" t="s">
        <v>50</v>
      </c>
      <c r="G457" s="5" t="s">
        <v>51</v>
      </c>
      <c r="H457" s="5" t="s">
        <v>23</v>
      </c>
      <c r="I457" s="5"/>
      <c r="J457" s="5" t="s">
        <v>1013</v>
      </c>
      <c r="K457" s="5" t="s">
        <v>1134</v>
      </c>
      <c r="L457" s="5" t="s">
        <v>52</v>
      </c>
      <c r="M457" s="5"/>
      <c r="N457" s="5"/>
      <c r="O457" s="5" t="s">
        <v>69</v>
      </c>
      <c r="P457" s="5">
        <v>0.91</v>
      </c>
      <c r="Q457" s="5">
        <v>0.78</v>
      </c>
      <c r="R457" s="5"/>
      <c r="S457" s="5"/>
      <c r="T457" s="5"/>
      <c r="U457" s="5"/>
      <c r="V457" s="5">
        <v>2.6</v>
      </c>
      <c r="W457" s="5">
        <v>9.5</v>
      </c>
    </row>
    <row r="458" spans="1:24">
      <c r="A458" s="3">
        <v>35</v>
      </c>
      <c r="B458" s="4" t="s">
        <v>45</v>
      </c>
      <c r="C458" s="4">
        <v>1982</v>
      </c>
      <c r="D458" s="4" t="s">
        <v>46</v>
      </c>
      <c r="E458" s="6" t="s">
        <v>49</v>
      </c>
      <c r="F458" s="5" t="s">
        <v>50</v>
      </c>
      <c r="G458" s="5" t="s">
        <v>51</v>
      </c>
      <c r="H458" s="5" t="s">
        <v>23</v>
      </c>
      <c r="I458" s="5"/>
      <c r="J458" s="5" t="s">
        <v>1013</v>
      </c>
      <c r="K458" s="5" t="s">
        <v>1134</v>
      </c>
      <c r="L458" s="5" t="s">
        <v>52</v>
      </c>
      <c r="M458" s="5"/>
      <c r="N458" s="5"/>
      <c r="O458" s="5" t="s">
        <v>68</v>
      </c>
      <c r="P458" s="5"/>
      <c r="Q458" s="5">
        <v>0.74</v>
      </c>
      <c r="R458" s="5"/>
      <c r="S458" s="5"/>
      <c r="T458" s="5"/>
      <c r="U458" s="5"/>
      <c r="V458" s="5"/>
      <c r="W458" s="5">
        <v>10.6</v>
      </c>
    </row>
    <row r="459" spans="1:24">
      <c r="A459" s="3">
        <v>35</v>
      </c>
      <c r="B459" s="4" t="s">
        <v>45</v>
      </c>
      <c r="C459" s="4">
        <v>1982</v>
      </c>
      <c r="D459" s="4" t="s">
        <v>46</v>
      </c>
      <c r="E459" s="6" t="s">
        <v>49</v>
      </c>
      <c r="F459" s="5" t="s">
        <v>50</v>
      </c>
      <c r="G459" s="5" t="s">
        <v>51</v>
      </c>
      <c r="H459" s="5" t="s">
        <v>23</v>
      </c>
      <c r="I459" s="5"/>
      <c r="J459" s="5" t="s">
        <v>1013</v>
      </c>
      <c r="K459" s="5" t="s">
        <v>1134</v>
      </c>
      <c r="L459" s="5" t="s">
        <v>52</v>
      </c>
      <c r="M459" s="5"/>
      <c r="N459" s="5"/>
      <c r="O459" s="5" t="s">
        <v>72</v>
      </c>
      <c r="P459" s="5"/>
      <c r="Q459" s="5">
        <v>0.71</v>
      </c>
      <c r="R459" s="5"/>
      <c r="S459" s="5"/>
      <c r="T459" s="5"/>
      <c r="U459" s="5"/>
      <c r="V459" s="5"/>
      <c r="W459" s="5">
        <v>13.4</v>
      </c>
    </row>
    <row r="461" spans="1:24">
      <c r="A461" t="s">
        <v>1175</v>
      </c>
    </row>
    <row r="462" spans="1:24">
      <c r="A462" s="39"/>
      <c r="B462" s="40" t="s">
        <v>990</v>
      </c>
      <c r="C462" s="41">
        <v>2005</v>
      </c>
      <c r="D462" s="39"/>
      <c r="E462" s="40" t="s">
        <v>49</v>
      </c>
      <c r="F462" s="39"/>
      <c r="G462" s="39"/>
      <c r="H462" s="39" t="s">
        <v>38</v>
      </c>
      <c r="I462" s="39"/>
      <c r="L462" s="41" t="s">
        <v>991</v>
      </c>
      <c r="M462" s="39"/>
      <c r="N462" s="39"/>
      <c r="O462" s="39"/>
      <c r="P462" s="39"/>
      <c r="Q462" s="39"/>
      <c r="R462" s="39"/>
      <c r="S462" s="39"/>
      <c r="T462" s="39"/>
      <c r="U462" s="39"/>
      <c r="V462" s="39">
        <v>1.63</v>
      </c>
      <c r="W462" s="39">
        <v>6.49</v>
      </c>
      <c r="X462" t="str">
        <f>IF(R462&lt;&gt;0,R462,IF(U462&lt;&gt;0,U462,""))</f>
        <v/>
      </c>
    </row>
    <row r="465" spans="1:26" s="46" customFormat="1">
      <c r="A465" s="53">
        <v>174</v>
      </c>
      <c r="B465" s="54" t="s">
        <v>697</v>
      </c>
      <c r="C465" s="54">
        <v>2009</v>
      </c>
      <c r="D465" s="55" t="s">
        <v>698</v>
      </c>
      <c r="E465" s="56" t="s">
        <v>20</v>
      </c>
      <c r="F465" s="57" t="s">
        <v>701</v>
      </c>
      <c r="G465" s="54"/>
      <c r="H465" s="54"/>
      <c r="I465" s="54"/>
      <c r="J465" s="58" t="s">
        <v>1093</v>
      </c>
      <c r="K465" s="54" t="s">
        <v>1094</v>
      </c>
      <c r="L465" s="54" t="s">
        <v>738</v>
      </c>
      <c r="M465" s="59"/>
      <c r="N465" s="59"/>
      <c r="O465" s="54" t="s">
        <v>739</v>
      </c>
      <c r="P465" s="60"/>
      <c r="Q465" s="60"/>
      <c r="R465" s="54"/>
      <c r="S465" s="54"/>
      <c r="T465" s="54"/>
      <c r="U465" s="61">
        <v>0.92200000000000004</v>
      </c>
      <c r="V465" s="61"/>
      <c r="W465" s="61"/>
      <c r="X465" s="58">
        <f>IF(R465&lt;&gt;0,IF(R465&gt;1,R465/100,R465),IF(U465&lt;&gt;0,IF(U465&gt;1,U465/100,U465),""))</f>
        <v>0.92200000000000004</v>
      </c>
      <c r="Y465" s="62">
        <v>2.8</v>
      </c>
      <c r="Z465" s="63" t="str">
        <f>IF(X465&lt;&gt;"",IF(X465&lt;0.9,"S","F"),"")</f>
        <v>F</v>
      </c>
    </row>
    <row r="467" spans="1:26">
      <c r="A467" t="s">
        <v>1194</v>
      </c>
    </row>
    <row r="468" spans="1:26">
      <c r="A468" t="s">
        <v>1195</v>
      </c>
    </row>
  </sheetData>
  <sortState ref="A120:AI215">
    <sortCondition ref="K120:K215"/>
    <sortCondition ref="Z120:Z215"/>
    <sortCondition descending="1" ref="X120:X215"/>
  </sortState>
  <dataValidations count="1">
    <dataValidation showInputMessage="1" showErrorMessage="1" sqref="A1"/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CO2</vt:lpstr>
      <vt:lpstr>W conifer CO2 detail</vt:lpstr>
      <vt:lpstr>W conifer CO2 detail NOTUSED</vt:lpstr>
      <vt:lpstr>W shrub CO2 detail NOTUSED</vt:lpstr>
      <vt:lpstr>CO</vt:lpstr>
      <vt:lpstr>CO W conifer detail</vt:lpstr>
      <vt:lpstr>W conifer CO detail NOT USED</vt:lpstr>
      <vt:lpstr>W shrub CO detail NOTUSED</vt:lpstr>
      <vt:lpstr>CH4</vt:lpstr>
      <vt:lpstr>W conifer CH4 detail - NOT USED</vt:lpstr>
      <vt:lpstr>W conifer CH4 (WF,RX) - NOTUSED</vt:lpstr>
      <vt:lpstr>fixing CO Urbanski 2013</vt:lpstr>
      <vt:lpstr>Master RefList</vt:lpstr>
      <vt:lpstr>CO2 Refs</vt:lpstr>
      <vt:lpstr>CO Refs</vt:lpstr>
      <vt:lpstr>CH4 Refs</vt:lpstr>
    </vt:vector>
  </TitlesOfParts>
  <Company>USFS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O'Neill</dc:creator>
  <cp:lastModifiedBy>Susan O'Neill</cp:lastModifiedBy>
  <dcterms:created xsi:type="dcterms:W3CDTF">2017-05-23T00:02:38Z</dcterms:created>
  <dcterms:modified xsi:type="dcterms:W3CDTF">2017-08-08T16:59:36Z</dcterms:modified>
</cp:coreProperties>
</file>